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Felipe\Desktop\"/>
    </mc:Choice>
  </mc:AlternateContent>
  <bookViews>
    <workbookView xWindow="0" yWindow="0" windowWidth="20490" windowHeight="7755"/>
  </bookViews>
  <sheets>
    <sheet name="VIGA CARGA DISTRIBUIDA" sheetId="2" r:id="rId1"/>
    <sheet name="DAD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2" l="1"/>
  <c r="O22" i="2"/>
  <c r="R22" i="2" s="1"/>
  <c r="B10" i="1" l="1"/>
  <c r="B3" i="1"/>
  <c r="B4" i="1" l="1"/>
  <c r="B2" i="1"/>
  <c r="B29" i="1" l="1"/>
  <c r="B25" i="1"/>
  <c r="B19" i="1"/>
  <c r="B20" i="1" s="1"/>
  <c r="B11" i="1"/>
  <c r="B5" i="1"/>
  <c r="B6" i="1"/>
  <c r="P28" i="2"/>
  <c r="H27" i="2"/>
  <c r="Q26" i="2"/>
  <c r="H26" i="2"/>
  <c r="H25" i="2"/>
  <c r="H24" i="2"/>
  <c r="H23" i="2"/>
  <c r="H22" i="2"/>
  <c r="H21" i="2"/>
  <c r="H20" i="2"/>
  <c r="H19" i="2"/>
  <c r="Q18" i="2"/>
  <c r="Q19" i="2" s="1"/>
  <c r="H18" i="2"/>
  <c r="H17" i="2"/>
  <c r="J13" i="2"/>
  <c r="D9" i="2"/>
  <c r="D12" i="2" l="1"/>
  <c r="J9" i="2" s="1"/>
  <c r="B21" i="1"/>
  <c r="S22" i="2"/>
  <c r="S26" i="2"/>
  <c r="B23" i="1"/>
  <c r="B22" i="1"/>
  <c r="I23" i="2" l="1"/>
  <c r="I20" i="2"/>
  <c r="I19" i="2"/>
  <c r="I17" i="2"/>
  <c r="I25" i="2"/>
  <c r="D13" i="2"/>
  <c r="K25" i="2" s="1"/>
  <c r="I21" i="2"/>
  <c r="I18" i="2"/>
  <c r="D14" i="2"/>
  <c r="M12" i="2" s="1"/>
  <c r="I22" i="2"/>
  <c r="I24" i="2"/>
  <c r="I26" i="2"/>
  <c r="I27" i="2"/>
  <c r="K23" i="2" l="1"/>
  <c r="K26" i="2"/>
  <c r="F12" i="2"/>
  <c r="K17" i="2"/>
  <c r="K18" i="2"/>
  <c r="K20" i="2"/>
  <c r="K27" i="2"/>
  <c r="J26" i="2"/>
  <c r="K21" i="2"/>
  <c r="K24" i="2"/>
  <c r="K19" i="2"/>
  <c r="J18" i="2"/>
  <c r="J20" i="2"/>
  <c r="K22" i="2"/>
  <c r="J17" i="2"/>
  <c r="J24" i="2"/>
  <c r="J21" i="2"/>
  <c r="J27" i="2"/>
  <c r="J19" i="2"/>
  <c r="J22" i="2"/>
  <c r="J25" i="2"/>
  <c r="J23" i="2"/>
  <c r="M17" i="2"/>
  <c r="B7" i="1" s="1"/>
  <c r="F2" i="1" s="1"/>
  <c r="L17" i="2" l="1"/>
  <c r="B9" i="1" s="1"/>
  <c r="B31" i="1" s="1"/>
  <c r="B8" i="1"/>
  <c r="B24" i="1"/>
  <c r="C24" i="1" s="1"/>
  <c r="B30" i="1" l="1"/>
  <c r="C30" i="1" s="1"/>
  <c r="N21" i="1"/>
  <c r="O21" i="1" s="1"/>
  <c r="N20" i="1"/>
  <c r="O20" i="1" s="1"/>
  <c r="N22" i="1"/>
  <c r="O22" i="1" s="1"/>
  <c r="N18" i="1"/>
  <c r="O18" i="1" s="1"/>
  <c r="N19" i="1"/>
  <c r="N10" i="1"/>
  <c r="N3" i="1"/>
  <c r="P4" i="2"/>
  <c r="Q4" i="2" s="1"/>
  <c r="N8" i="1"/>
  <c r="N4" i="1"/>
  <c r="N9" i="1"/>
  <c r="N7" i="1"/>
  <c r="N5" i="1"/>
  <c r="N6" i="1"/>
  <c r="N11" i="1"/>
  <c r="Q9" i="2" l="1"/>
  <c r="Q15" i="2"/>
  <c r="O19" i="1"/>
  <c r="R15" i="2" s="1"/>
</calcChain>
</file>

<file path=xl/comments1.xml><?xml version="1.0" encoding="utf-8"?>
<comments xmlns="http://schemas.openxmlformats.org/spreadsheetml/2006/main">
  <authors>
    <author>Usuário</author>
  </authors>
  <commentList>
    <comment ref="A29" authorId="0" shape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Tensão admissivel à tração para o tipo de aço usado (CA50)
</t>
        </r>
      </text>
    </comment>
  </commentList>
</comments>
</file>

<file path=xl/sharedStrings.xml><?xml version="1.0" encoding="utf-8"?>
<sst xmlns="http://schemas.openxmlformats.org/spreadsheetml/2006/main" count="90" uniqueCount="77">
  <si>
    <t>Dados da viga</t>
  </si>
  <si>
    <t>b</t>
  </si>
  <si>
    <t>d</t>
  </si>
  <si>
    <t>Dados gerais</t>
  </si>
  <si>
    <t>Eaço</t>
  </si>
  <si>
    <t>fyd</t>
  </si>
  <si>
    <r>
      <t>ε</t>
    </r>
    <r>
      <rPr>
        <sz val="11"/>
        <color theme="1"/>
        <rFont val="Calibri"/>
        <family val="2"/>
      </rPr>
      <t>yd</t>
    </r>
  </si>
  <si>
    <t>x</t>
  </si>
  <si>
    <t>Cobrimento</t>
  </si>
  <si>
    <t>mk</t>
  </si>
  <si>
    <t>md</t>
  </si>
  <si>
    <t>Z</t>
  </si>
  <si>
    <t>fck</t>
  </si>
  <si>
    <t>fcd</t>
  </si>
  <si>
    <t>Fc</t>
  </si>
  <si>
    <t>C</t>
  </si>
  <si>
    <t>C lim.</t>
  </si>
  <si>
    <t>Área de aço</t>
  </si>
  <si>
    <t>As</t>
  </si>
  <si>
    <t>fy</t>
  </si>
  <si>
    <t>BITOLAS</t>
  </si>
  <si>
    <t>ÁREA</t>
  </si>
  <si>
    <t>POSSIBLIDADES DE COMPOSIÇÃO</t>
  </si>
  <si>
    <t>Bitola</t>
  </si>
  <si>
    <t>QTD</t>
  </si>
  <si>
    <t>h</t>
  </si>
  <si>
    <t>ESTRIBOS</t>
  </si>
  <si>
    <r>
      <rPr>
        <sz val="18"/>
        <color theme="1"/>
        <rFont val="Calibri"/>
        <family val="2"/>
      </rPr>
      <t>τ</t>
    </r>
    <r>
      <rPr>
        <sz val="11"/>
        <color theme="1"/>
        <rFont val="Calibri"/>
        <family val="2"/>
      </rPr>
      <t xml:space="preserve"> tração</t>
    </r>
    <r>
      <rPr>
        <sz val="16"/>
        <color theme="1"/>
        <rFont val="Calibri"/>
        <family val="2"/>
      </rPr>
      <t xml:space="preserve"> </t>
    </r>
  </si>
  <si>
    <r>
      <t xml:space="preserve">τ </t>
    </r>
    <r>
      <rPr>
        <sz val="12"/>
        <color theme="1"/>
        <rFont val="Calibri"/>
        <family val="2"/>
        <scheme val="minor"/>
      </rPr>
      <t>máx</t>
    </r>
  </si>
  <si>
    <t>Q</t>
  </si>
  <si>
    <t>Aest</t>
  </si>
  <si>
    <t>kgf</t>
  </si>
  <si>
    <t>cm</t>
  </si>
  <si>
    <t>Mpa</t>
  </si>
  <si>
    <t>cm²</t>
  </si>
  <si>
    <t>BITOLAS ESTRIBOS</t>
  </si>
  <si>
    <t xml:space="preserve">BITOLAS </t>
  </si>
  <si>
    <t>POSSIBILIDADES DE COMPOSIÇÃO</t>
  </si>
  <si>
    <t>BITOLA</t>
  </si>
  <si>
    <t>QTD/M</t>
  </si>
  <si>
    <t>ESPAÇAMENTO</t>
  </si>
  <si>
    <t>Comp.</t>
  </si>
  <si>
    <t>Carga</t>
  </si>
  <si>
    <t>Seção da viga</t>
  </si>
  <si>
    <t>h (cm)</t>
  </si>
  <si>
    <t>b(cm)</t>
  </si>
  <si>
    <t>Ra (kg)</t>
  </si>
  <si>
    <t>Rb (kg)</t>
  </si>
  <si>
    <t>Comp. (m)</t>
  </si>
  <si>
    <t>(m)</t>
  </si>
  <si>
    <t>Δ</t>
  </si>
  <si>
    <t>FORMULÁRIO</t>
  </si>
  <si>
    <t>Posição (x)</t>
  </si>
  <si>
    <t>Ra-Q.x</t>
  </si>
  <si>
    <t>Cortante=</t>
  </si>
  <si>
    <t>Momento=</t>
  </si>
  <si>
    <t>Ra.x-(Q.x²)/2</t>
  </si>
  <si>
    <t>Momento (M)</t>
  </si>
  <si>
    <t>Cortante (V)</t>
  </si>
  <si>
    <t>Vmax (kgf)</t>
  </si>
  <si>
    <t>Mmax (kgf.m)</t>
  </si>
  <si>
    <t>kgf.cm</t>
  </si>
  <si>
    <t>Volume concreto</t>
  </si>
  <si>
    <t>ESPAÇ. (cm)</t>
  </si>
  <si>
    <t>Peso (kg)</t>
  </si>
  <si>
    <t>Armadura (m)</t>
  </si>
  <si>
    <t>Comp. Total</t>
  </si>
  <si>
    <t>Área de Aço (cm²)</t>
  </si>
  <si>
    <t>Carga total (kg/m)</t>
  </si>
  <si>
    <t>PLANILHA DE CALCULO DE VIGAS COM CARGA DISTRIBUIDA</t>
  </si>
  <si>
    <t>OBS: PREENCHER SOMENTE CELULAS EM VERDE</t>
  </si>
  <si>
    <t>Estribo (m)</t>
  </si>
  <si>
    <t>Cobrimento (cm)</t>
  </si>
  <si>
    <t>Fck (Mpa)</t>
  </si>
  <si>
    <t>q (kgf/m)</t>
  </si>
  <si>
    <t>P.P (kgf/m)</t>
  </si>
  <si>
    <t>kgf/m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</si>
</sst>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0" fontId="0" fillId="0" borderId="17" xfId="0" applyBorder="1" applyAlignment="1">
      <alignment horizontal="center" vertical="top"/>
    </xf>
    <xf numFmtId="2" fontId="0" fillId="0" borderId="0" xfId="0" applyNumberFormat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/>
    <xf numFmtId="0" fontId="12" fillId="0" borderId="9" xfId="0" applyFont="1" applyBorder="1"/>
    <xf numFmtId="0" fontId="13" fillId="0" borderId="1" xfId="0" applyFont="1" applyFill="1" applyBorder="1"/>
    <xf numFmtId="0" fontId="9" fillId="0" borderId="0" xfId="0" applyFont="1" applyBorder="1"/>
    <xf numFmtId="0" fontId="14" fillId="0" borderId="0" xfId="0" applyFon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22" xfId="0" applyFill="1" applyBorder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Link="$P$9" fmlaRange="DADOS!$M$2:$M$11" noThreeD="1" sel="5" val="0"/>
</file>

<file path=xl/ctrlProps/ctrlProp2.xml><?xml version="1.0" encoding="utf-8"?>
<formControlPr xmlns="http://schemas.microsoft.com/office/spreadsheetml/2009/9/main" objectType="Drop" dropLines="10" dropStyle="combo" dx="16" fmlaLink="P15" fmlaRange="DADOS!$M$17:$M$22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9</xdr:row>
      <xdr:rowOff>37000</xdr:rowOff>
    </xdr:from>
    <xdr:to>
      <xdr:col>13</xdr:col>
      <xdr:colOff>285750</xdr:colOff>
      <xdr:row>11</xdr:row>
      <xdr:rowOff>66674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541" t="36046" r="42156" b="48119"/>
        <a:stretch/>
      </xdr:blipFill>
      <xdr:spPr>
        <a:xfrm>
          <a:off x="7400925" y="1503850"/>
          <a:ext cx="561975" cy="410674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9</xdr:row>
      <xdr:rowOff>22895</xdr:rowOff>
    </xdr:from>
    <xdr:to>
      <xdr:col>6</xdr:col>
      <xdr:colOff>285750</xdr:colOff>
      <xdr:row>11</xdr:row>
      <xdr:rowOff>15467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84" t="34379" r="64729" b="49994"/>
        <a:stretch/>
      </xdr:blipFill>
      <xdr:spPr>
        <a:xfrm>
          <a:off x="2638425" y="1680245"/>
          <a:ext cx="542925" cy="3735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</xdr:row>
          <xdr:rowOff>9525</xdr:rowOff>
        </xdr:from>
        <xdr:to>
          <xdr:col>16</xdr:col>
          <xdr:colOff>0</xdr:colOff>
          <xdr:row>8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13</xdr:row>
          <xdr:rowOff>180975</xdr:rowOff>
        </xdr:from>
        <xdr:to>
          <xdr:col>16</xdr:col>
          <xdr:colOff>0</xdr:colOff>
          <xdr:row>14</xdr:row>
          <xdr:rowOff>180975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8"/>
  <sheetViews>
    <sheetView showGridLines="0" tabSelected="1" zoomScale="85" zoomScaleNormal="85" workbookViewId="0">
      <selection activeCell="O12" sqref="O12"/>
    </sheetView>
  </sheetViews>
  <sheetFormatPr defaultRowHeight="15" x14ac:dyDescent="0.25"/>
  <cols>
    <col min="1" max="1" width="2.140625" customWidth="1"/>
    <col min="2" max="2" width="2" customWidth="1"/>
    <col min="3" max="3" width="16.5703125" customWidth="1"/>
    <col min="4" max="4" width="12.85546875" customWidth="1"/>
    <col min="5" max="5" width="1.42578125" customWidth="1"/>
    <col min="6" max="6" width="8.42578125" customWidth="1"/>
    <col min="7" max="7" width="8.7109375" customWidth="1"/>
    <col min="8" max="8" width="9.28515625" customWidth="1"/>
    <col min="9" max="9" width="7.140625" customWidth="1"/>
    <col min="10" max="10" width="10.140625" customWidth="1"/>
    <col min="11" max="11" width="12.42578125" customWidth="1"/>
    <col min="12" max="12" width="8.7109375" customWidth="1"/>
    <col min="13" max="13" width="11" customWidth="1"/>
    <col min="14" max="14" width="13.140625" customWidth="1"/>
    <col min="15" max="15" width="5" customWidth="1"/>
    <col min="16" max="16" width="16.7109375" customWidth="1"/>
    <col min="17" max="17" width="12.42578125" bestFit="1" customWidth="1"/>
    <col min="18" max="18" width="11.28515625" customWidth="1"/>
    <col min="19" max="19" width="13.140625" customWidth="1"/>
    <col min="20" max="20" width="1.85546875" customWidth="1"/>
  </cols>
  <sheetData>
    <row r="1" spans="2:20" ht="15.75" thickBot="1" x14ac:dyDescent="0.3"/>
    <row r="2" spans="2:20" ht="8.25" customHeight="1" thickBo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2:20" ht="15.75" thickBot="1" x14ac:dyDescent="0.3">
      <c r="B3" s="25"/>
      <c r="C3" s="51" t="s">
        <v>43</v>
      </c>
      <c r="D3" s="52"/>
      <c r="E3" s="17"/>
      <c r="F3" s="17"/>
      <c r="G3" s="17"/>
      <c r="H3" s="54" t="s">
        <v>69</v>
      </c>
      <c r="I3" s="55"/>
      <c r="J3" s="55"/>
      <c r="K3" s="55"/>
      <c r="L3" s="55"/>
      <c r="M3" s="56"/>
      <c r="N3" s="17"/>
      <c r="O3" s="17"/>
      <c r="P3" s="1" t="s">
        <v>67</v>
      </c>
      <c r="Q3" s="17"/>
      <c r="R3" s="17"/>
      <c r="S3" s="17"/>
      <c r="T3" s="26"/>
    </row>
    <row r="4" spans="2:20" x14ac:dyDescent="0.25">
      <c r="B4" s="25"/>
      <c r="C4" s="1" t="s">
        <v>44</v>
      </c>
      <c r="D4" s="5">
        <v>40</v>
      </c>
      <c r="E4" s="17"/>
      <c r="F4" s="17"/>
      <c r="G4" s="17"/>
      <c r="H4" s="48" t="s">
        <v>70</v>
      </c>
      <c r="I4" s="48"/>
      <c r="J4" s="48"/>
      <c r="K4" s="48"/>
      <c r="L4" s="48"/>
      <c r="M4" s="48"/>
      <c r="N4" s="17"/>
      <c r="O4" s="17"/>
      <c r="P4" s="20">
        <f>DADOS!F2</f>
        <v>3.4830000000000001</v>
      </c>
      <c r="Q4" s="49" t="str">
        <f>IF(P4="ERRO!","ÁREA DE ARMADURA MAIOR QUE O PERMITIDO!","")</f>
        <v/>
      </c>
      <c r="R4" s="17"/>
      <c r="S4" s="17"/>
      <c r="T4" s="26"/>
    </row>
    <row r="5" spans="2:20" x14ac:dyDescent="0.25">
      <c r="B5" s="25"/>
      <c r="C5" s="1" t="s">
        <v>45</v>
      </c>
      <c r="D5" s="5">
        <v>19</v>
      </c>
      <c r="E5" s="17"/>
      <c r="F5" s="17"/>
      <c r="G5" s="17"/>
      <c r="H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26"/>
    </row>
    <row r="6" spans="2:20" x14ac:dyDescent="0.25">
      <c r="B6" s="25"/>
      <c r="C6" s="1" t="s">
        <v>48</v>
      </c>
      <c r="D6" s="5">
        <v>4.5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R6" s="17"/>
      <c r="S6" s="17"/>
      <c r="T6" s="26"/>
    </row>
    <row r="7" spans="2:20" x14ac:dyDescent="0.25">
      <c r="B7" s="25"/>
      <c r="C7" s="1" t="s">
        <v>72</v>
      </c>
      <c r="D7" s="5">
        <v>2.5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R7" s="17"/>
      <c r="S7" s="17"/>
      <c r="T7" s="26"/>
    </row>
    <row r="8" spans="2:20" ht="15.75" thickBot="1" x14ac:dyDescent="0.3">
      <c r="B8" s="25"/>
      <c r="C8" s="1" t="s">
        <v>73</v>
      </c>
      <c r="D8" s="5">
        <v>30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 t="s">
        <v>38</v>
      </c>
      <c r="Q8" s="1" t="s">
        <v>24</v>
      </c>
      <c r="R8" s="17"/>
      <c r="S8" s="17"/>
      <c r="T8" s="26"/>
    </row>
    <row r="9" spans="2:20" ht="15.75" thickBot="1" x14ac:dyDescent="0.3">
      <c r="B9" s="25"/>
      <c r="C9" s="1" t="s">
        <v>75</v>
      </c>
      <c r="D9" s="4">
        <f>((D4*D5)/10000)*2500</f>
        <v>190</v>
      </c>
      <c r="E9" s="17"/>
      <c r="F9" s="17"/>
      <c r="G9" s="60"/>
      <c r="H9" s="61"/>
      <c r="I9" s="61"/>
      <c r="J9" s="62">
        <f>D12</f>
        <v>1290</v>
      </c>
      <c r="K9" s="61" t="s">
        <v>76</v>
      </c>
      <c r="L9" s="61"/>
      <c r="M9" s="63"/>
      <c r="N9" s="17"/>
      <c r="O9" s="17"/>
      <c r="P9" s="1">
        <v>5</v>
      </c>
      <c r="Q9" s="1">
        <f ca="1">OFFSET(DADOS!N1,P9,0)</f>
        <v>5</v>
      </c>
      <c r="R9" s="17"/>
      <c r="S9" s="17"/>
      <c r="T9" s="26"/>
    </row>
    <row r="10" spans="2:20" x14ac:dyDescent="0.25">
      <c r="B10" s="2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6"/>
    </row>
    <row r="11" spans="2:20" x14ac:dyDescent="0.25">
      <c r="B11" s="25"/>
      <c r="C11" s="1" t="s">
        <v>74</v>
      </c>
      <c r="D11" s="5">
        <v>1100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26"/>
    </row>
    <row r="12" spans="2:20" x14ac:dyDescent="0.25">
      <c r="B12" s="25"/>
      <c r="C12" s="1" t="s">
        <v>68</v>
      </c>
      <c r="D12" s="4">
        <f>D11+D9</f>
        <v>1290</v>
      </c>
      <c r="E12" s="17"/>
      <c r="F12" s="53">
        <f>D13</f>
        <v>2902.5</v>
      </c>
      <c r="G12" s="53"/>
      <c r="H12" s="17"/>
      <c r="I12" s="17"/>
      <c r="J12" s="17"/>
      <c r="K12" s="17"/>
      <c r="L12" s="17"/>
      <c r="M12" s="53">
        <f>D14</f>
        <v>2902.5</v>
      </c>
      <c r="N12" s="53"/>
      <c r="O12" s="27"/>
      <c r="P12" s="17"/>
      <c r="Q12" s="17"/>
      <c r="R12" s="17"/>
      <c r="S12" s="17"/>
      <c r="T12" s="26"/>
    </row>
    <row r="13" spans="2:20" ht="18.75" x14ac:dyDescent="0.3">
      <c r="B13" s="25"/>
      <c r="C13" s="1" t="s">
        <v>46</v>
      </c>
      <c r="D13" s="4">
        <f>(D12*D6)/2</f>
        <v>2902.5</v>
      </c>
      <c r="E13" s="17"/>
      <c r="F13" s="17"/>
      <c r="G13" s="9"/>
      <c r="H13" s="17"/>
      <c r="I13" s="17"/>
      <c r="J13" s="28">
        <f>D6</f>
        <v>4.5</v>
      </c>
      <c r="K13" s="17" t="s">
        <v>49</v>
      </c>
      <c r="L13" s="17"/>
      <c r="M13" s="11"/>
      <c r="N13" s="17"/>
      <c r="O13" s="17"/>
      <c r="P13" s="17"/>
      <c r="Q13" s="17"/>
      <c r="R13" s="17"/>
      <c r="S13" s="17"/>
      <c r="T13" s="26"/>
    </row>
    <row r="14" spans="2:20" x14ac:dyDescent="0.25">
      <c r="B14" s="25"/>
      <c r="C14" s="1" t="s">
        <v>47</v>
      </c>
      <c r="D14" s="4">
        <f>(D12*D6)/2</f>
        <v>2902.5</v>
      </c>
      <c r="E14" s="17"/>
      <c r="F14" s="17"/>
      <c r="G14" s="10"/>
      <c r="H14" s="8"/>
      <c r="I14" s="8"/>
      <c r="J14" s="8"/>
      <c r="K14" s="8"/>
      <c r="L14" s="8"/>
      <c r="M14" s="12"/>
      <c r="N14" s="17"/>
      <c r="O14" s="17"/>
      <c r="P14" s="1" t="s">
        <v>38</v>
      </c>
      <c r="Q14" s="1" t="s">
        <v>39</v>
      </c>
      <c r="R14" s="1" t="s">
        <v>63</v>
      </c>
      <c r="S14" s="17"/>
      <c r="T14" s="26"/>
    </row>
    <row r="15" spans="2:20" x14ac:dyDescent="0.25"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">
        <v>3</v>
      </c>
      <c r="Q15" s="1">
        <f ca="1">OFFSET(DADOS!N16,P15,0)</f>
        <v>7</v>
      </c>
      <c r="R15" s="1">
        <f ca="1">OFFSET(DADOS!O16,P15,0)</f>
        <v>16</v>
      </c>
      <c r="S15" s="17"/>
      <c r="T15" s="26"/>
    </row>
    <row r="16" spans="2:20" x14ac:dyDescent="0.25">
      <c r="B16" s="25"/>
      <c r="C16" s="17"/>
      <c r="D16" s="17"/>
      <c r="E16" s="17"/>
      <c r="F16" s="17"/>
      <c r="G16" s="44" t="s">
        <v>50</v>
      </c>
      <c r="H16" s="45" t="s">
        <v>52</v>
      </c>
      <c r="I16" s="45" t="s">
        <v>42</v>
      </c>
      <c r="J16" s="46" t="s">
        <v>58</v>
      </c>
      <c r="K16" s="46" t="s">
        <v>57</v>
      </c>
      <c r="L16" s="47" t="s">
        <v>59</v>
      </c>
      <c r="M16" s="47" t="s">
        <v>60</v>
      </c>
      <c r="N16" s="18"/>
      <c r="O16" s="17"/>
      <c r="P16" s="17"/>
      <c r="Q16" s="17"/>
      <c r="R16" s="17"/>
      <c r="S16" s="17"/>
      <c r="T16" s="26"/>
    </row>
    <row r="17" spans="2:20" x14ac:dyDescent="0.25">
      <c r="B17" s="25"/>
      <c r="C17" s="6" t="s">
        <v>51</v>
      </c>
      <c r="D17" s="6"/>
      <c r="E17" s="17"/>
      <c r="F17" s="17"/>
      <c r="G17" s="13">
        <v>0</v>
      </c>
      <c r="H17" s="1">
        <f t="shared" ref="H17:H27" si="0">G17*$D$6</f>
        <v>0</v>
      </c>
      <c r="I17" s="14">
        <f t="shared" ref="I17:I27" si="1">$D$12</f>
        <v>1290</v>
      </c>
      <c r="J17" s="1">
        <f t="shared" ref="J17:J27" si="2">$D$13-I17*H17</f>
        <v>2902.5</v>
      </c>
      <c r="K17" s="21">
        <f t="shared" ref="K17:K27" si="3">$D$13*H17-($D$12*H17^2)/2</f>
        <v>0</v>
      </c>
      <c r="L17" s="6">
        <f>LARGE(J17:J27,1)</f>
        <v>2902.5</v>
      </c>
      <c r="M17" s="16">
        <f>LARGE(K17:K27,1)</f>
        <v>3265.3125</v>
      </c>
      <c r="N17" s="19"/>
      <c r="O17" s="17"/>
      <c r="P17" s="17"/>
      <c r="Q17" s="17"/>
      <c r="R17" s="17"/>
      <c r="S17" s="17"/>
      <c r="T17" s="26"/>
    </row>
    <row r="18" spans="2:20" x14ac:dyDescent="0.25">
      <c r="B18" s="25"/>
      <c r="C18" s="1" t="s">
        <v>54</v>
      </c>
      <c r="D18" s="1" t="s">
        <v>53</v>
      </c>
      <c r="E18" s="17"/>
      <c r="F18" s="17"/>
      <c r="G18" s="1">
        <v>0.1</v>
      </c>
      <c r="H18" s="1">
        <f t="shared" si="0"/>
        <v>0.45</v>
      </c>
      <c r="I18" s="14">
        <f t="shared" si="1"/>
        <v>1290</v>
      </c>
      <c r="J18" s="1">
        <f t="shared" si="2"/>
        <v>2322</v>
      </c>
      <c r="K18" s="21">
        <f t="shared" si="3"/>
        <v>1175.5125</v>
      </c>
      <c r="L18" s="17"/>
      <c r="M18" s="17"/>
      <c r="N18" s="17"/>
      <c r="O18" s="17"/>
      <c r="P18" s="1" t="s">
        <v>62</v>
      </c>
      <c r="Q18" s="1">
        <f>((D4*D5)/10000)*D6</f>
        <v>0.34199999999999997</v>
      </c>
      <c r="R18" s="17"/>
      <c r="S18" s="17"/>
      <c r="T18" s="26"/>
    </row>
    <row r="19" spans="2:20" x14ac:dyDescent="0.25">
      <c r="B19" s="25"/>
      <c r="C19" s="1" t="s">
        <v>55</v>
      </c>
      <c r="D19" s="1" t="s">
        <v>56</v>
      </c>
      <c r="E19" s="17"/>
      <c r="F19" s="17"/>
      <c r="G19" s="1">
        <v>0.2</v>
      </c>
      <c r="H19" s="1">
        <f t="shared" si="0"/>
        <v>0.9</v>
      </c>
      <c r="I19" s="14">
        <f t="shared" si="1"/>
        <v>1290</v>
      </c>
      <c r="J19" s="1">
        <f t="shared" si="2"/>
        <v>1741.5</v>
      </c>
      <c r="K19" s="21">
        <f t="shared" si="3"/>
        <v>2089.8000000000002</v>
      </c>
      <c r="L19" s="17"/>
      <c r="M19" s="17"/>
      <c r="N19" s="17"/>
      <c r="O19" s="17"/>
      <c r="P19" s="1" t="s">
        <v>64</v>
      </c>
      <c r="Q19" s="1">
        <f>Q18*2500</f>
        <v>854.99999999999989</v>
      </c>
      <c r="R19" s="17"/>
      <c r="S19" s="17"/>
      <c r="T19" s="26"/>
    </row>
    <row r="20" spans="2:20" ht="15.75" thickBot="1" x14ac:dyDescent="0.3">
      <c r="B20" s="25"/>
      <c r="C20" s="17"/>
      <c r="D20" s="17"/>
      <c r="E20" s="17"/>
      <c r="F20" s="17"/>
      <c r="G20" s="1">
        <v>0.3</v>
      </c>
      <c r="H20" s="1">
        <f t="shared" si="0"/>
        <v>1.3499999999999999</v>
      </c>
      <c r="I20" s="14">
        <f t="shared" si="1"/>
        <v>1290</v>
      </c>
      <c r="J20" s="1">
        <f t="shared" si="2"/>
        <v>1161.0000000000002</v>
      </c>
      <c r="K20" s="21">
        <f t="shared" si="3"/>
        <v>2742.8624999999997</v>
      </c>
      <c r="L20" s="17"/>
      <c r="M20" s="17"/>
      <c r="N20" s="17"/>
      <c r="O20" s="17"/>
      <c r="P20" s="17"/>
      <c r="Q20" s="17"/>
      <c r="R20" s="17"/>
      <c r="S20" s="17"/>
      <c r="T20" s="26"/>
    </row>
    <row r="21" spans="2:20" x14ac:dyDescent="0.25">
      <c r="B21" s="25"/>
      <c r="C21" s="17"/>
      <c r="D21" s="37"/>
      <c r="E21" s="17"/>
      <c r="F21" s="17"/>
      <c r="G21" s="1">
        <v>0.4</v>
      </c>
      <c r="H21" s="1">
        <f t="shared" si="0"/>
        <v>1.8</v>
      </c>
      <c r="I21" s="14">
        <f t="shared" si="1"/>
        <v>1290</v>
      </c>
      <c r="J21" s="1">
        <f t="shared" si="2"/>
        <v>580.5</v>
      </c>
      <c r="K21" s="21">
        <f t="shared" si="3"/>
        <v>3134.7</v>
      </c>
      <c r="L21" s="17"/>
      <c r="M21" s="17"/>
      <c r="N21" s="17"/>
      <c r="O21" s="17"/>
      <c r="P21" s="17"/>
      <c r="Q21" s="17"/>
      <c r="R21" s="17"/>
      <c r="S21" s="15" t="s">
        <v>66</v>
      </c>
      <c r="T21" s="26"/>
    </row>
    <row r="22" spans="2:20" ht="15.75" thickBot="1" x14ac:dyDescent="0.3">
      <c r="B22" s="25"/>
      <c r="C22" s="17"/>
      <c r="D22" s="38"/>
      <c r="E22" s="17"/>
      <c r="F22" s="17"/>
      <c r="G22" s="1">
        <v>0.5</v>
      </c>
      <c r="H22" s="1">
        <f t="shared" si="0"/>
        <v>2.25</v>
      </c>
      <c r="I22" s="14">
        <f t="shared" si="1"/>
        <v>1290</v>
      </c>
      <c r="J22" s="1">
        <f t="shared" si="2"/>
        <v>0</v>
      </c>
      <c r="K22" s="21">
        <f t="shared" si="3"/>
        <v>3265.3125</v>
      </c>
      <c r="L22" s="17"/>
      <c r="M22" s="17"/>
      <c r="N22" s="17" t="s">
        <v>65</v>
      </c>
      <c r="O22" s="41">
        <f>D4*0.00333333333333333</f>
        <v>0.13333333333333319</v>
      </c>
      <c r="P22" s="29"/>
      <c r="Q22" s="31"/>
      <c r="R22" s="43">
        <f>O22</f>
        <v>0.13333333333333319</v>
      </c>
      <c r="S22" s="16">
        <f>R22+P23+O22</f>
        <v>4.7166666666666659</v>
      </c>
      <c r="T22" s="26"/>
    </row>
    <row r="23" spans="2:20" x14ac:dyDescent="0.25">
      <c r="B23" s="25"/>
      <c r="C23" s="36" t="s">
        <v>25</v>
      </c>
      <c r="D23" s="38"/>
      <c r="E23" s="17"/>
      <c r="F23" s="17"/>
      <c r="G23" s="1">
        <v>0.6</v>
      </c>
      <c r="H23" s="1">
        <f t="shared" si="0"/>
        <v>2.6999999999999997</v>
      </c>
      <c r="I23" s="14">
        <f t="shared" si="1"/>
        <v>1290</v>
      </c>
      <c r="J23" s="1">
        <f t="shared" si="2"/>
        <v>-580.49999999999955</v>
      </c>
      <c r="K23" s="21">
        <f t="shared" si="3"/>
        <v>3134.7</v>
      </c>
      <c r="L23" s="17"/>
      <c r="M23" s="17"/>
      <c r="O23" s="17"/>
      <c r="P23" s="50">
        <f>D6-(DADOS!B4*0.02)</f>
        <v>4.45</v>
      </c>
      <c r="Q23" s="50"/>
      <c r="R23" s="17"/>
      <c r="S23" s="17"/>
      <c r="T23" s="26"/>
    </row>
    <row r="24" spans="2:20" ht="15.75" thickBot="1" x14ac:dyDescent="0.3">
      <c r="B24" s="25"/>
      <c r="C24" s="17"/>
      <c r="D24" s="38"/>
      <c r="E24" s="17"/>
      <c r="F24" s="17"/>
      <c r="G24" s="1">
        <v>0.7</v>
      </c>
      <c r="H24" s="1">
        <f t="shared" si="0"/>
        <v>3.15</v>
      </c>
      <c r="I24" s="14">
        <f t="shared" si="1"/>
        <v>1290</v>
      </c>
      <c r="J24" s="1">
        <f t="shared" si="2"/>
        <v>-1161</v>
      </c>
      <c r="K24" s="21">
        <f t="shared" si="3"/>
        <v>2742.8625000000002</v>
      </c>
      <c r="L24" s="17"/>
      <c r="M24" s="17"/>
      <c r="N24" s="17"/>
      <c r="O24" s="17"/>
      <c r="P24" s="17"/>
      <c r="Q24" s="17"/>
      <c r="R24" s="17"/>
      <c r="S24" s="17"/>
      <c r="T24" s="26"/>
    </row>
    <row r="25" spans="2:20" x14ac:dyDescent="0.25">
      <c r="B25" s="25"/>
      <c r="C25" s="17"/>
      <c r="D25" s="38"/>
      <c r="E25" s="17"/>
      <c r="F25" s="17"/>
      <c r="G25" s="1">
        <v>0.8</v>
      </c>
      <c r="H25" s="1">
        <f t="shared" si="0"/>
        <v>3.6</v>
      </c>
      <c r="I25" s="14">
        <f t="shared" si="1"/>
        <v>1290</v>
      </c>
      <c r="J25" s="1">
        <f t="shared" si="2"/>
        <v>-1741.5</v>
      </c>
      <c r="K25" s="21">
        <f t="shared" si="3"/>
        <v>2089.7999999999993</v>
      </c>
      <c r="L25" s="17"/>
      <c r="M25" s="17"/>
      <c r="O25" s="17"/>
      <c r="P25" s="32"/>
      <c r="Q25" s="17"/>
      <c r="R25" s="17"/>
      <c r="S25" s="15" t="s">
        <v>66</v>
      </c>
      <c r="T25" s="26"/>
    </row>
    <row r="26" spans="2:20" ht="15.75" thickBot="1" x14ac:dyDescent="0.3">
      <c r="B26" s="25"/>
      <c r="C26" s="17"/>
      <c r="D26" s="39"/>
      <c r="E26" s="17"/>
      <c r="F26" s="17"/>
      <c r="G26" s="1">
        <v>0.9</v>
      </c>
      <c r="H26" s="1">
        <f t="shared" si="0"/>
        <v>4.05</v>
      </c>
      <c r="I26" s="14">
        <f t="shared" si="1"/>
        <v>1290</v>
      </c>
      <c r="J26" s="1">
        <f t="shared" si="2"/>
        <v>-2322</v>
      </c>
      <c r="K26" s="21">
        <f t="shared" si="3"/>
        <v>1175.5125000000007</v>
      </c>
      <c r="L26" s="17"/>
      <c r="M26" s="17"/>
      <c r="N26" s="17" t="s">
        <v>71</v>
      </c>
      <c r="O26" s="17"/>
      <c r="P26" s="33"/>
      <c r="Q26" s="40">
        <f>((D5)-DADOS!B4*2)*0.01</f>
        <v>0.14000000000000001</v>
      </c>
      <c r="R26" s="17"/>
      <c r="S26" s="6">
        <f>((Q26+P28))*2+0.1</f>
        <v>1.08</v>
      </c>
      <c r="T26" s="26"/>
    </row>
    <row r="27" spans="2:20" ht="15.75" thickBot="1" x14ac:dyDescent="0.3">
      <c r="B27" s="25"/>
      <c r="C27" s="17"/>
      <c r="D27" s="35" t="s">
        <v>1</v>
      </c>
      <c r="E27" s="17"/>
      <c r="F27" s="17"/>
      <c r="G27" s="1">
        <v>1</v>
      </c>
      <c r="H27" s="1">
        <f t="shared" si="0"/>
        <v>4.5</v>
      </c>
      <c r="I27" s="14">
        <f t="shared" si="1"/>
        <v>1290</v>
      </c>
      <c r="J27" s="1">
        <f t="shared" si="2"/>
        <v>-2902.5</v>
      </c>
      <c r="K27" s="21">
        <f t="shared" si="3"/>
        <v>0</v>
      </c>
      <c r="L27" s="17"/>
      <c r="M27" s="17"/>
      <c r="N27" s="17"/>
      <c r="O27" s="17"/>
      <c r="P27" s="34"/>
      <c r="Q27" s="17"/>
      <c r="R27" s="17"/>
      <c r="S27" s="17"/>
      <c r="T27" s="26"/>
    </row>
    <row r="28" spans="2:20" ht="16.5" customHeight="1" thickBo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42">
        <f>(D4-DADOS!B4*2)*0.01</f>
        <v>0.35000000000000003</v>
      </c>
      <c r="Q28" s="30"/>
      <c r="R28" s="30"/>
      <c r="S28" s="30"/>
      <c r="T28" s="31"/>
    </row>
  </sheetData>
  <protectedRanges>
    <protectedRange sqref="P9:Q9" name="bitola 1"/>
    <protectedRange sqref="D4:D8" name="seção"/>
    <protectedRange sqref="D11" name="carga"/>
    <protectedRange sqref="P15" name="bitola 2"/>
  </protectedRanges>
  <mergeCells count="5">
    <mergeCell ref="P23:Q23"/>
    <mergeCell ref="C3:D3"/>
    <mergeCell ref="F12:G12"/>
    <mergeCell ref="M12:N12"/>
    <mergeCell ref="H3:M3"/>
  </mergeCells>
  <conditionalFormatting sqref="J17:K2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{B4F08BCC-6AC7-4E9C-82F7-6B041056259E}</x14:id>
        </ext>
      </extLst>
    </cfRule>
  </conditionalFormatting>
  <conditionalFormatting sqref="P4">
    <cfRule type="cellIs" dxfId="2" priority="2" operator="equal">
      <formula>"ERRO"</formula>
    </cfRule>
    <cfRule type="cellIs" dxfId="1" priority="1" operator="equal">
      <formula>"ERRO!"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15</xdr:col>
                    <xdr:colOff>9525</xdr:colOff>
                    <xdr:row>8</xdr:row>
                    <xdr:rowOff>9525</xdr:rowOff>
                  </from>
                  <to>
                    <xdr:col>16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Drop Down 2">
              <controlPr defaultSize="0" autoLine="0" autoPict="0">
                <anchor moveWithCells="1">
                  <from>
                    <xdr:col>15</xdr:col>
                    <xdr:colOff>9525</xdr:colOff>
                    <xdr:row>13</xdr:row>
                    <xdr:rowOff>180975</xdr:rowOff>
                  </from>
                  <to>
                    <xdr:col>16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08BCC-6AC7-4E9C-82F7-6B04105625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J17:K27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workbookViewId="0">
      <selection activeCell="M16" sqref="M16:O16"/>
    </sheetView>
  </sheetViews>
  <sheetFormatPr defaultRowHeight="15" x14ac:dyDescent="0.25"/>
  <cols>
    <col min="1" max="1" width="11.42578125" customWidth="1"/>
    <col min="13" max="13" width="14.5703125" customWidth="1"/>
    <col min="14" max="14" width="16.28515625" customWidth="1"/>
    <col min="15" max="15" width="14.5703125" bestFit="1" customWidth="1"/>
  </cols>
  <sheetData>
    <row r="1" spans="1:20" x14ac:dyDescent="0.25">
      <c r="A1" s="1" t="s">
        <v>0</v>
      </c>
      <c r="B1" s="1"/>
      <c r="E1" s="58" t="s">
        <v>17</v>
      </c>
      <c r="F1" s="58"/>
      <c r="I1" s="1" t="s">
        <v>20</v>
      </c>
      <c r="J1" s="1" t="s">
        <v>21</v>
      </c>
      <c r="M1" s="57" t="s">
        <v>22</v>
      </c>
      <c r="N1" s="57"/>
    </row>
    <row r="2" spans="1:20" x14ac:dyDescent="0.25">
      <c r="A2" s="1" t="s">
        <v>25</v>
      </c>
      <c r="B2" s="3">
        <f>'VIGA CARGA DISTRIBUIDA'!D4</f>
        <v>40</v>
      </c>
      <c r="C2" t="s">
        <v>32</v>
      </c>
      <c r="E2" s="5" t="s">
        <v>18</v>
      </c>
      <c r="F2" s="5">
        <f>IF((2*B7)/(B18*B6)&lt;(B2*B3*0.04),(2*B7)/(B18*B6),"ERRO!")</f>
        <v>3.4830000000000001</v>
      </c>
      <c r="I2" s="1">
        <v>5</v>
      </c>
      <c r="J2" s="1">
        <v>0.2</v>
      </c>
      <c r="M2" s="1" t="s">
        <v>23</v>
      </c>
      <c r="N2" s="1" t="s">
        <v>24</v>
      </c>
    </row>
    <row r="3" spans="1:20" x14ac:dyDescent="0.25">
      <c r="A3" s="1" t="s">
        <v>1</v>
      </c>
      <c r="B3" s="3">
        <f>'VIGA CARGA DISTRIBUIDA'!D5</f>
        <v>19</v>
      </c>
      <c r="C3" t="s">
        <v>32</v>
      </c>
      <c r="I3" s="1">
        <v>6.3</v>
      </c>
      <c r="J3" s="1">
        <v>0.31</v>
      </c>
      <c r="M3" s="1">
        <v>5</v>
      </c>
      <c r="N3" s="1">
        <f>CEILING($F$2/J2,1)</f>
        <v>18</v>
      </c>
      <c r="T3">
        <v>1.99</v>
      </c>
    </row>
    <row r="4" spans="1:20" x14ac:dyDescent="0.25">
      <c r="A4" s="1" t="s">
        <v>8</v>
      </c>
      <c r="B4" s="3">
        <f>'VIGA CARGA DISTRIBUIDA'!D7</f>
        <v>2.5</v>
      </c>
      <c r="C4" t="s">
        <v>32</v>
      </c>
      <c r="I4" s="1">
        <v>8</v>
      </c>
      <c r="J4" s="1">
        <v>0.5</v>
      </c>
      <c r="M4" s="1">
        <v>6.3</v>
      </c>
      <c r="N4" s="1">
        <f>CEILING($F$2/J3,1)</f>
        <v>12</v>
      </c>
      <c r="T4">
        <v>1.69</v>
      </c>
    </row>
    <row r="5" spans="1:20" x14ac:dyDescent="0.25">
      <c r="A5" s="1" t="s">
        <v>41</v>
      </c>
      <c r="B5" s="3">
        <f>'VIGA CARGA DISTRIBUIDA'!D6</f>
        <v>4.5</v>
      </c>
      <c r="I5" s="1">
        <v>10</v>
      </c>
      <c r="J5" s="1">
        <v>0.7</v>
      </c>
      <c r="M5" s="1">
        <v>8</v>
      </c>
      <c r="N5" s="1">
        <f t="shared" ref="N5:N11" si="0">CEILING($F$2/J4,1)</f>
        <v>7</v>
      </c>
    </row>
    <row r="6" spans="1:20" x14ac:dyDescent="0.25">
      <c r="A6" s="1" t="s">
        <v>2</v>
      </c>
      <c r="B6" s="4">
        <f>B2-B4</f>
        <v>37.5</v>
      </c>
      <c r="C6" t="s">
        <v>32</v>
      </c>
      <c r="I6" s="1">
        <v>12.5</v>
      </c>
      <c r="J6" s="1">
        <v>1.25</v>
      </c>
      <c r="M6" s="1">
        <v>10</v>
      </c>
      <c r="N6" s="1">
        <f t="shared" si="0"/>
        <v>5</v>
      </c>
      <c r="T6">
        <v>1.42</v>
      </c>
    </row>
    <row r="7" spans="1:20" x14ac:dyDescent="0.25">
      <c r="A7" s="1" t="s">
        <v>9</v>
      </c>
      <c r="B7" s="3">
        <f>'VIGA CARGA DISTRIBUIDA'!M17*100</f>
        <v>326531.25</v>
      </c>
      <c r="C7" t="s">
        <v>61</v>
      </c>
      <c r="I7" s="1">
        <v>16</v>
      </c>
      <c r="J7" s="1">
        <v>1.98</v>
      </c>
      <c r="M7" s="1">
        <v>12.5</v>
      </c>
      <c r="N7" s="1">
        <f t="shared" si="0"/>
        <v>3</v>
      </c>
      <c r="T7">
        <v>1.29</v>
      </c>
    </row>
    <row r="8" spans="1:20" x14ac:dyDescent="0.25">
      <c r="A8" s="1" t="s">
        <v>10</v>
      </c>
      <c r="B8" s="4">
        <f>B7*1.4</f>
        <v>457143.75</v>
      </c>
      <c r="C8" t="s">
        <v>31</v>
      </c>
      <c r="I8" s="1">
        <v>20</v>
      </c>
      <c r="J8" s="1">
        <v>2.85</v>
      </c>
      <c r="M8" s="1">
        <v>16</v>
      </c>
      <c r="N8" s="1">
        <f t="shared" si="0"/>
        <v>2</v>
      </c>
      <c r="T8">
        <v>1.1499999999999999</v>
      </c>
    </row>
    <row r="9" spans="1:20" x14ac:dyDescent="0.25">
      <c r="A9" s="1" t="s">
        <v>29</v>
      </c>
      <c r="B9" s="4">
        <f>'VIGA CARGA DISTRIBUIDA'!L17</f>
        <v>2902.5</v>
      </c>
      <c r="C9" t="s">
        <v>31</v>
      </c>
      <c r="I9" s="1">
        <v>22</v>
      </c>
      <c r="J9" s="1">
        <v>3.8</v>
      </c>
      <c r="M9" s="1">
        <v>20</v>
      </c>
      <c r="N9" s="1">
        <f t="shared" si="0"/>
        <v>2</v>
      </c>
    </row>
    <row r="10" spans="1:20" x14ac:dyDescent="0.25">
      <c r="A10" s="1" t="s">
        <v>12</v>
      </c>
      <c r="B10" s="3">
        <f>'VIGA CARGA DISTRIBUIDA'!D8</f>
        <v>30</v>
      </c>
      <c r="C10" t="s">
        <v>33</v>
      </c>
      <c r="I10" s="1">
        <v>25</v>
      </c>
      <c r="J10" s="1">
        <v>5.05</v>
      </c>
      <c r="M10" s="1">
        <v>22</v>
      </c>
      <c r="N10" s="1">
        <f t="shared" si="0"/>
        <v>1</v>
      </c>
      <c r="T10">
        <v>1.01</v>
      </c>
    </row>
    <row r="11" spans="1:20" x14ac:dyDescent="0.25">
      <c r="A11" s="1" t="s">
        <v>13</v>
      </c>
      <c r="B11" s="4">
        <f>B10/1.4</f>
        <v>21.428571428571431</v>
      </c>
      <c r="C11" t="s">
        <v>33</v>
      </c>
      <c r="M11" s="1">
        <v>25</v>
      </c>
      <c r="N11" s="1">
        <f t="shared" si="0"/>
        <v>1</v>
      </c>
      <c r="T11">
        <v>0.87</v>
      </c>
    </row>
    <row r="12" spans="1:20" x14ac:dyDescent="0.25">
      <c r="T12">
        <v>0.74</v>
      </c>
    </row>
    <row r="13" spans="1:20" x14ac:dyDescent="0.25">
      <c r="T13">
        <v>0.6</v>
      </c>
    </row>
    <row r="14" spans="1:20" x14ac:dyDescent="0.25">
      <c r="T14">
        <v>0.37</v>
      </c>
    </row>
    <row r="15" spans="1:20" x14ac:dyDescent="0.25">
      <c r="T15">
        <v>0.33</v>
      </c>
    </row>
    <row r="16" spans="1:20" x14ac:dyDescent="0.25">
      <c r="A16" s="1" t="s">
        <v>3</v>
      </c>
      <c r="B16" s="1"/>
      <c r="I16" s="57" t="s">
        <v>35</v>
      </c>
      <c r="J16" s="57"/>
      <c r="M16" s="57" t="s">
        <v>37</v>
      </c>
      <c r="N16" s="57"/>
      <c r="O16" s="57"/>
      <c r="T16">
        <v>0.28999999999999998</v>
      </c>
    </row>
    <row r="17" spans="1:20" x14ac:dyDescent="0.25">
      <c r="A17" s="1" t="s">
        <v>4</v>
      </c>
      <c r="B17" s="4">
        <v>2100000</v>
      </c>
      <c r="I17" s="1" t="s">
        <v>36</v>
      </c>
      <c r="J17" s="1" t="s">
        <v>21</v>
      </c>
      <c r="M17" s="1" t="s">
        <v>38</v>
      </c>
      <c r="N17" s="1" t="s">
        <v>39</v>
      </c>
      <c r="O17" s="1" t="s">
        <v>40</v>
      </c>
      <c r="T17">
        <v>2.48</v>
      </c>
    </row>
    <row r="18" spans="1:20" x14ac:dyDescent="0.25">
      <c r="A18" s="1" t="s">
        <v>19</v>
      </c>
      <c r="B18" s="4">
        <v>5000</v>
      </c>
      <c r="I18" s="1">
        <v>5</v>
      </c>
      <c r="J18" s="1">
        <v>0.2</v>
      </c>
      <c r="M18" s="1">
        <v>5</v>
      </c>
      <c r="N18" s="1">
        <f>CEILING($B$31/(J18*2),1)</f>
        <v>10</v>
      </c>
      <c r="O18" s="1">
        <f>ROUNDDOWN((100/(N18-1)),0.1)</f>
        <v>11</v>
      </c>
      <c r="T18">
        <v>2.2599999999999998</v>
      </c>
    </row>
    <row r="19" spans="1:20" x14ac:dyDescent="0.25">
      <c r="A19" s="1" t="s">
        <v>5</v>
      </c>
      <c r="B19" s="4">
        <f>5000/(1.15)</f>
        <v>4347.826086956522</v>
      </c>
      <c r="I19" s="1">
        <v>6.3</v>
      </c>
      <c r="J19" s="1">
        <v>0.31</v>
      </c>
      <c r="M19" s="1">
        <v>6.3</v>
      </c>
      <c r="N19" s="1">
        <f>CEILING($B$31/(J19*2),1)</f>
        <v>7</v>
      </c>
      <c r="O19" s="1">
        <f>ROUNDDOWN((100/(N19-1)),0.1)</f>
        <v>16</v>
      </c>
      <c r="T19">
        <v>1.57</v>
      </c>
    </row>
    <row r="20" spans="1:20" ht="21" x14ac:dyDescent="0.35">
      <c r="A20" s="2" t="s">
        <v>6</v>
      </c>
      <c r="B20" s="4">
        <f>B19/B17</f>
        <v>2.070393374741201E-3</v>
      </c>
      <c r="I20" s="1">
        <v>8</v>
      </c>
      <c r="J20" s="1">
        <v>0.5</v>
      </c>
      <c r="M20" s="1">
        <v>8</v>
      </c>
      <c r="N20" s="1">
        <f>CEILING($B$31/(J20*2),1)</f>
        <v>4</v>
      </c>
      <c r="O20" s="1">
        <f>ROUNDDOWN((100/(N20-1)),0.1)</f>
        <v>33</v>
      </c>
      <c r="T20">
        <v>1.46</v>
      </c>
    </row>
    <row r="21" spans="1:20" x14ac:dyDescent="0.25">
      <c r="A21" s="1" t="s">
        <v>7</v>
      </c>
      <c r="B21" s="4">
        <f>0.5*B6</f>
        <v>18.75</v>
      </c>
      <c r="I21" s="1">
        <v>10</v>
      </c>
      <c r="J21" s="1">
        <v>0.7</v>
      </c>
      <c r="M21" s="1">
        <v>10</v>
      </c>
      <c r="N21" s="1">
        <f>CEILING($B$31/(J21*2),1)</f>
        <v>3</v>
      </c>
      <c r="O21" s="1">
        <f>ROUNDDOWN((100/(N21-1)),0.1)</f>
        <v>50</v>
      </c>
      <c r="T21">
        <v>1.35</v>
      </c>
    </row>
    <row r="22" spans="1:20" x14ac:dyDescent="0.25">
      <c r="A22" s="1" t="s">
        <v>11</v>
      </c>
      <c r="B22" s="4">
        <f>0.8*B6</f>
        <v>30</v>
      </c>
      <c r="I22" s="1">
        <v>12.5</v>
      </c>
      <c r="J22" s="1">
        <v>1.25</v>
      </c>
      <c r="M22" s="1">
        <v>12.5</v>
      </c>
      <c r="N22" s="1">
        <f>CEILING($B$31/(J22*2),1)</f>
        <v>2</v>
      </c>
      <c r="O22" s="1">
        <f>ROUNDDOWN((100/(N22-1)),0.1)</f>
        <v>100</v>
      </c>
      <c r="T22">
        <v>1.22</v>
      </c>
    </row>
    <row r="23" spans="1:20" x14ac:dyDescent="0.25">
      <c r="A23" s="1" t="s">
        <v>14</v>
      </c>
      <c r="B23" s="4">
        <f>(0.68*B11)*(B3*B21)</f>
        <v>5191.0714285714294</v>
      </c>
      <c r="T23">
        <v>1.1200000000000001</v>
      </c>
    </row>
    <row r="24" spans="1:20" x14ac:dyDescent="0.25">
      <c r="A24" s="1" t="s">
        <v>15</v>
      </c>
      <c r="B24" s="4">
        <f>B7/(B3*B6^2)</f>
        <v>12.221052631578948</v>
      </c>
      <c r="C24" t="str">
        <f>IF(B24&lt;B25,"OK","Não OK")</f>
        <v>OK</v>
      </c>
      <c r="T24">
        <v>1.01</v>
      </c>
    </row>
    <row r="25" spans="1:20" x14ac:dyDescent="0.25">
      <c r="A25" s="1" t="s">
        <v>16</v>
      </c>
      <c r="B25" s="4">
        <f>B10*10*0.14</f>
        <v>42.000000000000007</v>
      </c>
      <c r="T25">
        <v>0.92</v>
      </c>
    </row>
    <row r="26" spans="1:20" x14ac:dyDescent="0.25">
      <c r="T26">
        <v>0.85</v>
      </c>
    </row>
    <row r="27" spans="1:20" x14ac:dyDescent="0.25">
      <c r="T27">
        <v>0.44</v>
      </c>
    </row>
    <row r="28" spans="1:20" x14ac:dyDescent="0.25">
      <c r="A28" s="59" t="s">
        <v>26</v>
      </c>
      <c r="B28" s="59"/>
      <c r="T28">
        <v>0.97</v>
      </c>
    </row>
    <row r="29" spans="1:20" ht="23.25" x14ac:dyDescent="0.35">
      <c r="A29" s="2" t="s">
        <v>27</v>
      </c>
      <c r="B29" s="1">
        <f>(CEILING(5000/1.7,1))/100</f>
        <v>29.42</v>
      </c>
      <c r="T29">
        <v>1.06</v>
      </c>
    </row>
    <row r="30" spans="1:20" ht="23.25" x14ac:dyDescent="0.35">
      <c r="A30" s="7" t="s">
        <v>28</v>
      </c>
      <c r="B30" s="1">
        <f>1.5*(B9/(B3*B6))</f>
        <v>6.1105263157894729</v>
      </c>
      <c r="C30" t="str">
        <f>IF(B30&lt;B29,"OK","Não OK")</f>
        <v>OK</v>
      </c>
    </row>
    <row r="31" spans="1:20" x14ac:dyDescent="0.25">
      <c r="A31" s="1" t="s">
        <v>30</v>
      </c>
      <c r="B31" s="1">
        <f>B9/(B6*20)</f>
        <v>3.87</v>
      </c>
      <c r="C31" t="s">
        <v>34</v>
      </c>
    </row>
  </sheetData>
  <sheetProtection algorithmName="SHA-512" hashValue="4ub2ag73Bk/HK4UlCZT+xRz4dctzBS24U49lCfhKgMbB5d0P7R0QstBeGvV8K3ImDdr6nN606xKLQjqVzxuNoA==" saltValue="OMibtgSHyG8cOLNGeD/d5A==" spinCount="100000" sheet="1" objects="1" scenarios="1"/>
  <mergeCells count="5">
    <mergeCell ref="M1:N1"/>
    <mergeCell ref="E1:F1"/>
    <mergeCell ref="A28:B28"/>
    <mergeCell ref="I16:J16"/>
    <mergeCell ref="M16:O16"/>
  </mergeCells>
  <conditionalFormatting sqref="B25">
    <cfRule type="cellIs" dxfId="0" priority="3" operator="greaterThan">
      <formula>28</formula>
    </cfRule>
  </conditionalFormatting>
  <conditionalFormatting sqref="B24:B2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9:B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VIGA CARGA DISTRIBUIDA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Felipe</cp:lastModifiedBy>
  <dcterms:created xsi:type="dcterms:W3CDTF">2016-02-04T10:45:49Z</dcterms:created>
  <dcterms:modified xsi:type="dcterms:W3CDTF">2017-02-21T13:54:49Z</dcterms:modified>
</cp:coreProperties>
</file>