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3"/>
  </bookViews>
  <sheets>
    <sheet name="tabela com dados da madeira" sheetId="1" r:id="rId1"/>
    <sheet name="coniferas" sheetId="2" r:id="rId2"/>
    <sheet name="dicotiledonia" sheetId="3" r:id="rId3"/>
    <sheet name="cálculos" sheetId="4" r:id="rId4"/>
  </sheets>
  <definedNames>
    <definedName name="_xlnm.Print_Area" localSheetId="3">'cálculos'!$A$1:$H$153</definedName>
  </definedNames>
  <calcPr fullCalcOnLoad="1"/>
</workbook>
</file>

<file path=xl/sharedStrings.xml><?xml version="1.0" encoding="utf-8"?>
<sst xmlns="http://schemas.openxmlformats.org/spreadsheetml/2006/main" count="426" uniqueCount="236">
  <si>
    <t>cm</t>
  </si>
  <si>
    <t>kg/m²</t>
  </si>
  <si>
    <t>Δ</t>
  </si>
  <si>
    <t>Peso do concreto</t>
  </si>
  <si>
    <t>Carga oriunda da madeira</t>
  </si>
  <si>
    <t>M</t>
  </si>
  <si>
    <t>W</t>
  </si>
  <si>
    <t>J</t>
  </si>
  <si>
    <t>TAIPAL</t>
  </si>
  <si>
    <t>TRAVESSÃO</t>
  </si>
  <si>
    <t>cm4</t>
  </si>
  <si>
    <t>qt1</t>
  </si>
  <si>
    <t>qt</t>
  </si>
  <si>
    <t>PT</t>
  </si>
  <si>
    <t>ST</t>
  </si>
  <si>
    <t>PD</t>
  </si>
  <si>
    <t>S</t>
  </si>
  <si>
    <t>r</t>
  </si>
  <si>
    <t>ΨA</t>
  </si>
  <si>
    <t>N</t>
  </si>
  <si>
    <t>Ψa</t>
  </si>
  <si>
    <t>DIMENSÕES DOS ELEMENTOS</t>
  </si>
  <si>
    <t>GUIA</t>
  </si>
  <si>
    <t>MONTANTE</t>
  </si>
  <si>
    <t>δ M</t>
  </si>
  <si>
    <t>EM</t>
  </si>
  <si>
    <t>Ψ M</t>
  </si>
  <si>
    <t>Flexão</t>
  </si>
  <si>
    <t>Compressão</t>
  </si>
  <si>
    <t>Cisalhamento</t>
  </si>
  <si>
    <t>Modulo Longetudinal</t>
  </si>
  <si>
    <t>Densidade</t>
  </si>
  <si>
    <t>b</t>
  </si>
  <si>
    <t>ht</t>
  </si>
  <si>
    <t>Kg/m³</t>
  </si>
  <si>
    <t>Espessura da tábua do taipal</t>
  </si>
  <si>
    <t>Largura da tabua do taipal</t>
  </si>
  <si>
    <t>hd</t>
  </si>
  <si>
    <t>hl</t>
  </si>
  <si>
    <t>Peso específico do concreto</t>
  </si>
  <si>
    <t>Altura da laje</t>
  </si>
  <si>
    <t>Altura do despejo</t>
  </si>
  <si>
    <t>Sc</t>
  </si>
  <si>
    <t>Sobrecarga</t>
  </si>
  <si>
    <t>Pb</t>
  </si>
  <si>
    <t>L1xKg</t>
  </si>
  <si>
    <t>Psc</t>
  </si>
  <si>
    <t>Pm</t>
  </si>
  <si>
    <t>Peso devido a sobrecarga</t>
  </si>
  <si>
    <t>Pt</t>
  </si>
  <si>
    <t>Carga tota dedicada no meio do vão</t>
  </si>
  <si>
    <t>CUD = q</t>
  </si>
  <si>
    <t>Kg/cm</t>
  </si>
  <si>
    <t>Carga uniforme distribuida</t>
  </si>
  <si>
    <t>Mm</t>
  </si>
  <si>
    <t>L².Kg/cm</t>
  </si>
  <si>
    <t>Momento</t>
  </si>
  <si>
    <t>Modulo de resistência</t>
  </si>
  <si>
    <t>σm</t>
  </si>
  <si>
    <t>Tensão a flexão</t>
  </si>
  <si>
    <t>L1</t>
  </si>
  <si>
    <t>Comprimento de L1</t>
  </si>
  <si>
    <t>Cálculando o taipal com varias placas</t>
  </si>
  <si>
    <t>Verificando a flecha máxima admissivel</t>
  </si>
  <si>
    <t>θ</t>
  </si>
  <si>
    <t>Cálculando o taipal com uma única placa</t>
  </si>
  <si>
    <t>γc</t>
  </si>
  <si>
    <t>Grandeza unitária</t>
  </si>
  <si>
    <t>QT</t>
  </si>
  <si>
    <t>Kg/cm²</t>
  </si>
  <si>
    <t>n</t>
  </si>
  <si>
    <t>Rigidez da madeira</t>
  </si>
  <si>
    <t>Percent</t>
  </si>
  <si>
    <t>%</t>
  </si>
  <si>
    <t>Flexa máxima admissivel</t>
  </si>
  <si>
    <t>Flexa máxima encontrada</t>
  </si>
  <si>
    <t>Cálculando o L1 com a flexa determinada</t>
  </si>
  <si>
    <t>L1&lt;=</t>
  </si>
  <si>
    <t>h</t>
  </si>
  <si>
    <t>Em</t>
  </si>
  <si>
    <t>qt2</t>
  </si>
  <si>
    <t>cm²</t>
  </si>
  <si>
    <t>γm</t>
  </si>
  <si>
    <t xml:space="preserve">cm </t>
  </si>
  <si>
    <t>L2 adotado</t>
  </si>
  <si>
    <t>Comprimento de L1 adotado</t>
  </si>
  <si>
    <t>Base da madeira adotada</t>
  </si>
  <si>
    <t>Altura da madeira aotada</t>
  </si>
  <si>
    <t>Seçao transversal</t>
  </si>
  <si>
    <r>
      <t>SEÇÃO (mm) - B/H</t>
    </r>
  </si>
  <si>
    <t>cisalhamento</t>
  </si>
  <si>
    <t>Modulo longetudinal</t>
  </si>
  <si>
    <t>flexão</t>
  </si>
  <si>
    <t>Flexa</t>
  </si>
  <si>
    <t>Adota-se o menor</t>
  </si>
  <si>
    <t>L2</t>
  </si>
  <si>
    <t>DIMENSÕES DOS TRAVESSÃO</t>
  </si>
  <si>
    <t>Cálculando o L2 - compressão</t>
  </si>
  <si>
    <t>Cálculando o L2 - cisalhamento</t>
  </si>
  <si>
    <t>V</t>
  </si>
  <si>
    <t>τa</t>
  </si>
  <si>
    <t>Se τa ≤ τm</t>
  </si>
  <si>
    <t>Flexão da madeira</t>
  </si>
  <si>
    <t>(L1 = espaço entre os travessões com relação a flexão do taipal)</t>
  </si>
  <si>
    <t>(L2 = espaço entre as guias com relação a flexão do travessão)</t>
  </si>
  <si>
    <t>Cálculando o L3 - compressão</t>
  </si>
  <si>
    <t>(L3 = espaço entre os pilares com relação a flexão das guias)</t>
  </si>
  <si>
    <t>DIMENSÕES DAS GUIAS</t>
  </si>
  <si>
    <t>Comprimento de L2 adotado</t>
  </si>
  <si>
    <t>SG</t>
  </si>
  <si>
    <t>Seçao da guia</t>
  </si>
  <si>
    <t>L3</t>
  </si>
  <si>
    <t>Se θ &lt; Δ</t>
  </si>
  <si>
    <t>Se τa ≤ tm</t>
  </si>
  <si>
    <t>Cálculando o L3 - cisalhamento</t>
  </si>
  <si>
    <t>DIMENSÕES DOS MONTANTES</t>
  </si>
  <si>
    <t>Cálculando o montante</t>
  </si>
  <si>
    <t>Pé direito</t>
  </si>
  <si>
    <t>Altura da madeira adotada</t>
  </si>
  <si>
    <t>Carga axial</t>
  </si>
  <si>
    <t>δM</t>
  </si>
  <si>
    <t xml:space="preserve">δM </t>
  </si>
  <si>
    <t>Tensão admissivel</t>
  </si>
  <si>
    <t>Tensão atuante</t>
  </si>
  <si>
    <t>Raio de giração</t>
  </si>
  <si>
    <t>Seção transversal da madeira</t>
  </si>
  <si>
    <t>λ</t>
  </si>
  <si>
    <t>λ0</t>
  </si>
  <si>
    <t>Percentual adotado da altura da laje</t>
  </si>
  <si>
    <t>Flexa máxima admissivel adotada</t>
  </si>
  <si>
    <t>Flexa máxima admissivel determinada</t>
  </si>
  <si>
    <t>Peroba</t>
  </si>
  <si>
    <t>kg/cm</t>
  </si>
  <si>
    <t>kg</t>
  </si>
  <si>
    <t>kg/cm²</t>
  </si>
  <si>
    <t>Flexa máxima admissivel encontrada</t>
  </si>
  <si>
    <t>Eucalipto</t>
  </si>
  <si>
    <t>r = retangular</t>
  </si>
  <si>
    <t>c = cilindrico</t>
  </si>
  <si>
    <t>D</t>
  </si>
  <si>
    <t>Diametro da madeira</t>
  </si>
  <si>
    <t>Seção circular do montante</t>
  </si>
  <si>
    <t>NOME COMUM</t>
  </si>
  <si>
    <t>ρap (12%) [kg/m³]</t>
  </si>
  <si>
    <t>fco [Mpa]</t>
  </si>
  <si>
    <t>fto [Mpa]</t>
  </si>
  <si>
    <t>ft9o [Mpa]</t>
  </si>
  <si>
    <t>fv [Mpa]</t>
  </si>
  <si>
    <t>Eco [Mpa]</t>
  </si>
  <si>
    <t>Pinho do Paraná</t>
  </si>
  <si>
    <t>Pinus Caribea</t>
  </si>
  <si>
    <t>Pinus bahamensis</t>
  </si>
  <si>
    <t>Pinus hondurensis</t>
  </si>
  <si>
    <t>Pinus elliottii</t>
  </si>
  <si>
    <t>Pinus oocarpa</t>
  </si>
  <si>
    <t>Pinus taeda</t>
  </si>
  <si>
    <t>1) ρap (12%) é a massa específica aparente a 12% de umidade.</t>
  </si>
  <si>
    <t>2) fco é a resistência à compressão paralela às fibras</t>
  </si>
  <si>
    <t>3) fto é a resistência à tração paralela às fibras</t>
  </si>
  <si>
    <t>4) ft9o é a resistência à tração normal às fibras</t>
  </si>
  <si>
    <t>5) fv é a resistência ao cisalhamento.</t>
  </si>
  <si>
    <t>6) Eco é o módulo de elasticidade longitudinal obtido no ensaio de compressão paralela às fibras.</t>
  </si>
  <si>
    <t>7) n é o número de corpos-de-prova ensaiados.</t>
  </si>
  <si>
    <t>NOTAS</t>
  </si>
  <si>
    <t>1 - Coeficiente de variação para resistências a solicitações normais δ = 18%</t>
  </si>
  <si>
    <t>2 - Coeficiente de variação para resistências a solicitações tangenciais δ = 28%</t>
  </si>
  <si>
    <t>Angelim araroba</t>
  </si>
  <si>
    <t>Angelim ferro</t>
  </si>
  <si>
    <t>Angelim pedra</t>
  </si>
  <si>
    <t>Angelim pedra verdadeiro</t>
  </si>
  <si>
    <t>Branquilho</t>
  </si>
  <si>
    <t>Cafearana</t>
  </si>
  <si>
    <t>Canifístula</t>
  </si>
  <si>
    <t>Casca grosa</t>
  </si>
  <si>
    <t>Castelo</t>
  </si>
  <si>
    <t>Cedro amargo</t>
  </si>
  <si>
    <t>Cedro doce</t>
  </si>
  <si>
    <t>Champagne</t>
  </si>
  <si>
    <t>Cupiúba</t>
  </si>
  <si>
    <t>Catiúba</t>
  </si>
  <si>
    <t>E. Alba</t>
  </si>
  <si>
    <t>E. Camaldulensis</t>
  </si>
  <si>
    <t>E. Citriodora</t>
  </si>
  <si>
    <t>E. Coelziana</t>
  </si>
  <si>
    <t>E. Dunnii</t>
  </si>
  <si>
    <t>E. Grandis</t>
  </si>
  <si>
    <t>E. Maculata</t>
  </si>
  <si>
    <t>E. Madeine</t>
  </si>
  <si>
    <t>E. Microcorys</t>
  </si>
  <si>
    <t>E. Paniculata</t>
  </si>
  <si>
    <t>E. Propinqua</t>
  </si>
  <si>
    <t>E. Punctata</t>
  </si>
  <si>
    <t>E. Saligna</t>
  </si>
  <si>
    <t>E. Tereticormis</t>
  </si>
  <si>
    <t>E. Triantha</t>
  </si>
  <si>
    <t>E. Umbra</t>
  </si>
  <si>
    <t>E. Urophylla</t>
  </si>
  <si>
    <t>Garapa Roraima</t>
  </si>
  <si>
    <t>Guaiçara</t>
  </si>
  <si>
    <t>Guarucaia</t>
  </si>
  <si>
    <t>Ipê</t>
  </si>
  <si>
    <t>Jatobá</t>
  </si>
  <si>
    <t>Louro preto</t>
  </si>
  <si>
    <t>Maçaranduba</t>
  </si>
  <si>
    <t>Mandioqueira</t>
  </si>
  <si>
    <t>Oiticica amarela</t>
  </si>
  <si>
    <t>Quarabarana</t>
  </si>
  <si>
    <t>Sucupira</t>
  </si>
  <si>
    <t>Tatajuba</t>
  </si>
  <si>
    <t>σm [kg/cm²]</t>
  </si>
  <si>
    <t>ψm [kg/cm²]</t>
  </si>
  <si>
    <t>Em [kg/cm²]</t>
  </si>
  <si>
    <t>ɣm [kg/m³]</t>
  </si>
  <si>
    <t>Maderit</t>
  </si>
  <si>
    <t>Dimensões dos elementos, possíveis de serem adotadas</t>
  </si>
  <si>
    <t>Taipal - Espessuras em mm: 15, 18, 20, 25.</t>
  </si>
  <si>
    <t>Travessão - Seção transversal em mm²: 75 x 75, 75 x 100 ou 75 x 120.</t>
  </si>
  <si>
    <t>Sarrafo - Seção transversal em mm²: 25 x 40, 25 x 50, 20 x 60, 25 x 65 ou 30 x 60.</t>
  </si>
  <si>
    <t>Guia - Seção transversal em mm²: 75 x 100, 75 x 75 ou 75 x 150.</t>
  </si>
  <si>
    <t>Lateral - Espessura em mm: 10, 15, 20 ou 25.</t>
  </si>
  <si>
    <t>Fundo de viga - Espessura em mm: 10, 15, 20 ou 25.</t>
  </si>
  <si>
    <t>Montante cilíndrico (diâmetro em mm): 75, 100, 120 ou 150.</t>
  </si>
  <si>
    <t>Montante não cilíndrico - Seção em mm²: 75 x 75, 75 x 100, 100 x 100 ou 75 x 150.</t>
  </si>
  <si>
    <t>Com relação à seção transversal do montante cilíndrico:</t>
  </si>
  <si>
    <t>W = D³/32</t>
  </si>
  <si>
    <t>J = D^4/64</t>
  </si>
  <si>
    <t>Modulo Longitudinal</t>
  </si>
  <si>
    <t>Cálculo da flexa através do percentual da laje</t>
  </si>
  <si>
    <t>Cálculo da flexa através da rigidez</t>
  </si>
  <si>
    <t>Taipal</t>
  </si>
  <si>
    <t>Guia</t>
  </si>
  <si>
    <t>Travessão</t>
  </si>
  <si>
    <t>Montante</t>
  </si>
  <si>
    <t>L 01</t>
  </si>
  <si>
    <t>L 03</t>
  </si>
  <si>
    <t>L 02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</si>
</sst>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000"/>
    <numFmt numFmtId="176" formatCode="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9"/>
      <color indexed="12"/>
      <name val="Calibri"/>
      <family val="2"/>
    </font>
    <font>
      <u val="single"/>
      <sz val="8.9"/>
      <color indexed="36"/>
      <name val="Calibri"/>
      <family val="2"/>
    </font>
    <font>
      <b/>
      <sz val="10"/>
      <name val="GreekC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5" fontId="5" fillId="35" borderId="11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10" fontId="5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74" fontId="5" fillId="35" borderId="11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/>
    </xf>
    <xf numFmtId="176" fontId="0" fillId="33" borderId="11" xfId="0" applyNumberForma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11</xdr:row>
      <xdr:rowOff>123825</xdr:rowOff>
    </xdr:from>
    <xdr:to>
      <xdr:col>15</xdr:col>
      <xdr:colOff>123825</xdr:colOff>
      <xdr:row>13</xdr:row>
      <xdr:rowOff>114300</xdr:rowOff>
    </xdr:to>
    <xdr:sp>
      <xdr:nvSpPr>
        <xdr:cNvPr id="1" name="Parallelogram 9"/>
        <xdr:cNvSpPr>
          <a:spLocks/>
        </xdr:cNvSpPr>
      </xdr:nvSpPr>
      <xdr:spPr>
        <a:xfrm>
          <a:off x="7267575" y="1905000"/>
          <a:ext cx="3695700" cy="314325"/>
        </a:xfrm>
        <a:prstGeom prst="parallelogram">
          <a:avLst>
            <a:gd name="adj" fmla="val -47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6</xdr:row>
      <xdr:rowOff>28575</xdr:rowOff>
    </xdr:from>
    <xdr:to>
      <xdr:col>15</xdr:col>
      <xdr:colOff>238125</xdr:colOff>
      <xdr:row>11</xdr:row>
      <xdr:rowOff>9525</xdr:rowOff>
    </xdr:to>
    <xdr:sp>
      <xdr:nvSpPr>
        <xdr:cNvPr id="2" name="Parallelogram 1"/>
        <xdr:cNvSpPr>
          <a:spLocks/>
        </xdr:cNvSpPr>
      </xdr:nvSpPr>
      <xdr:spPr>
        <a:xfrm>
          <a:off x="7391400" y="1000125"/>
          <a:ext cx="3686175" cy="790575"/>
        </a:xfrm>
        <a:prstGeom prst="parallelogram">
          <a:avLst>
            <a:gd name="adj" fmla="val -44638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600075</xdr:colOff>
      <xdr:row>13</xdr:row>
      <xdr:rowOff>114300</xdr:rowOff>
    </xdr:to>
    <xdr:sp>
      <xdr:nvSpPr>
        <xdr:cNvPr id="3" name="Rectangle 2"/>
        <xdr:cNvSpPr>
          <a:spLocks/>
        </xdr:cNvSpPr>
      </xdr:nvSpPr>
      <xdr:spPr>
        <a:xfrm>
          <a:off x="7677150" y="1790700"/>
          <a:ext cx="161925" cy="4286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457200</xdr:colOff>
      <xdr:row>11</xdr:row>
      <xdr:rowOff>9525</xdr:rowOff>
    </xdr:from>
    <xdr:to>
      <xdr:col>12</xdr:col>
      <xdr:colOff>19050</xdr:colOff>
      <xdr:row>13</xdr:row>
      <xdr:rowOff>114300</xdr:rowOff>
    </xdr:to>
    <xdr:sp>
      <xdr:nvSpPr>
        <xdr:cNvPr id="4" name="Rectangle 3"/>
        <xdr:cNvSpPr>
          <a:spLocks/>
        </xdr:cNvSpPr>
      </xdr:nvSpPr>
      <xdr:spPr>
        <a:xfrm>
          <a:off x="8896350" y="1790700"/>
          <a:ext cx="161925" cy="4286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542925</xdr:colOff>
      <xdr:row>11</xdr:row>
      <xdr:rowOff>9525</xdr:rowOff>
    </xdr:from>
    <xdr:to>
      <xdr:col>14</xdr:col>
      <xdr:colOff>104775</xdr:colOff>
      <xdr:row>13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0182225" y="1790700"/>
          <a:ext cx="161925" cy="4286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11</xdr:row>
      <xdr:rowOff>19050</xdr:rowOff>
    </xdr:from>
    <xdr:to>
      <xdr:col>10</xdr:col>
      <xdr:colOff>85725</xdr:colOff>
      <xdr:row>13</xdr:row>
      <xdr:rowOff>114300</xdr:rowOff>
    </xdr:to>
    <xdr:sp>
      <xdr:nvSpPr>
        <xdr:cNvPr id="6" name="Right Triangle 6"/>
        <xdr:cNvSpPr>
          <a:spLocks/>
        </xdr:cNvSpPr>
      </xdr:nvSpPr>
      <xdr:spPr>
        <a:xfrm rot="5400000">
          <a:off x="7829550" y="1800225"/>
          <a:ext cx="95250" cy="419100"/>
        </a:xfrm>
        <a:prstGeom prst="rt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28575</xdr:rowOff>
    </xdr:from>
    <xdr:to>
      <xdr:col>12</xdr:col>
      <xdr:colOff>123825</xdr:colOff>
      <xdr:row>13</xdr:row>
      <xdr:rowOff>123825</xdr:rowOff>
    </xdr:to>
    <xdr:sp>
      <xdr:nvSpPr>
        <xdr:cNvPr id="7" name="Right Triangle 7"/>
        <xdr:cNvSpPr>
          <a:spLocks/>
        </xdr:cNvSpPr>
      </xdr:nvSpPr>
      <xdr:spPr>
        <a:xfrm rot="5400000">
          <a:off x="9067800" y="1809750"/>
          <a:ext cx="95250" cy="419100"/>
        </a:xfrm>
        <a:prstGeom prst="rt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19050</xdr:rowOff>
    </xdr:from>
    <xdr:to>
      <xdr:col>14</xdr:col>
      <xdr:colOff>219075</xdr:colOff>
      <xdr:row>13</xdr:row>
      <xdr:rowOff>114300</xdr:rowOff>
    </xdr:to>
    <xdr:sp>
      <xdr:nvSpPr>
        <xdr:cNvPr id="8" name="Right Triangle 8"/>
        <xdr:cNvSpPr>
          <a:spLocks/>
        </xdr:cNvSpPr>
      </xdr:nvSpPr>
      <xdr:spPr>
        <a:xfrm rot="5400000">
          <a:off x="10363200" y="1800225"/>
          <a:ext cx="95250" cy="419100"/>
        </a:xfrm>
        <a:prstGeom prst="rt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15</xdr:col>
      <xdr:colOff>66675</xdr:colOff>
      <xdr:row>14</xdr:row>
      <xdr:rowOff>19050</xdr:rowOff>
    </xdr:to>
    <xdr:sp>
      <xdr:nvSpPr>
        <xdr:cNvPr id="9" name="Rectangle 10"/>
        <xdr:cNvSpPr>
          <a:spLocks/>
        </xdr:cNvSpPr>
      </xdr:nvSpPr>
      <xdr:spPr>
        <a:xfrm>
          <a:off x="7258050" y="2228850"/>
          <a:ext cx="3648075" cy="571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28575</xdr:rowOff>
    </xdr:from>
    <xdr:to>
      <xdr:col>9</xdr:col>
      <xdr:colOff>390525</xdr:colOff>
      <xdr:row>27</xdr:row>
      <xdr:rowOff>152400</xdr:rowOff>
    </xdr:to>
    <xdr:sp>
      <xdr:nvSpPr>
        <xdr:cNvPr id="10" name="Rectangle 11"/>
        <xdr:cNvSpPr>
          <a:spLocks/>
        </xdr:cNvSpPr>
      </xdr:nvSpPr>
      <xdr:spPr>
        <a:xfrm>
          <a:off x="7496175" y="2295525"/>
          <a:ext cx="133350" cy="22288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28575</xdr:rowOff>
    </xdr:from>
    <xdr:to>
      <xdr:col>12</xdr:col>
      <xdr:colOff>209550</xdr:colOff>
      <xdr:row>27</xdr:row>
      <xdr:rowOff>152400</xdr:rowOff>
    </xdr:to>
    <xdr:sp>
      <xdr:nvSpPr>
        <xdr:cNvPr id="11" name="Rectangle 12"/>
        <xdr:cNvSpPr>
          <a:spLocks/>
        </xdr:cNvSpPr>
      </xdr:nvSpPr>
      <xdr:spPr>
        <a:xfrm>
          <a:off x="9115425" y="2295525"/>
          <a:ext cx="133350" cy="22288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495300</xdr:colOff>
      <xdr:row>14</xdr:row>
      <xdr:rowOff>28575</xdr:rowOff>
    </xdr:from>
    <xdr:to>
      <xdr:col>15</xdr:col>
      <xdr:colOff>28575</xdr:colOff>
      <xdr:row>27</xdr:row>
      <xdr:rowOff>152400</xdr:rowOff>
    </xdr:to>
    <xdr:sp>
      <xdr:nvSpPr>
        <xdr:cNvPr id="12" name="Rectangle 13"/>
        <xdr:cNvSpPr>
          <a:spLocks/>
        </xdr:cNvSpPr>
      </xdr:nvSpPr>
      <xdr:spPr>
        <a:xfrm>
          <a:off x="10734675" y="2295525"/>
          <a:ext cx="133350" cy="22288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3</xdr:row>
      <xdr:rowOff>28575</xdr:rowOff>
    </xdr:from>
    <xdr:to>
      <xdr:col>11</xdr:col>
      <xdr:colOff>28575</xdr:colOff>
      <xdr:row>8</xdr:row>
      <xdr:rowOff>104775</xdr:rowOff>
    </xdr:to>
    <xdr:sp>
      <xdr:nvSpPr>
        <xdr:cNvPr id="13" name="Straight Arrow Connector 15"/>
        <xdr:cNvSpPr>
          <a:spLocks/>
        </xdr:cNvSpPr>
      </xdr:nvSpPr>
      <xdr:spPr>
        <a:xfrm rot="16200000" flipH="1">
          <a:off x="8248650" y="514350"/>
          <a:ext cx="219075" cy="885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11</xdr:row>
      <xdr:rowOff>28575</xdr:rowOff>
    </xdr:from>
    <xdr:to>
      <xdr:col>9</xdr:col>
      <xdr:colOff>438150</xdr:colOff>
      <xdr:row>12</xdr:row>
      <xdr:rowOff>66675</xdr:rowOff>
    </xdr:to>
    <xdr:sp>
      <xdr:nvSpPr>
        <xdr:cNvPr id="14" name="Straight Arrow Connector 16"/>
        <xdr:cNvSpPr>
          <a:spLocks/>
        </xdr:cNvSpPr>
      </xdr:nvSpPr>
      <xdr:spPr>
        <a:xfrm>
          <a:off x="7086600" y="1809750"/>
          <a:ext cx="5905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12</xdr:row>
      <xdr:rowOff>123825</xdr:rowOff>
    </xdr:from>
    <xdr:to>
      <xdr:col>9</xdr:col>
      <xdr:colOff>66675</xdr:colOff>
      <xdr:row>12</xdr:row>
      <xdr:rowOff>161925</xdr:rowOff>
    </xdr:to>
    <xdr:sp>
      <xdr:nvSpPr>
        <xdr:cNvPr id="15" name="Straight Arrow Connector 19"/>
        <xdr:cNvSpPr>
          <a:spLocks/>
        </xdr:cNvSpPr>
      </xdr:nvSpPr>
      <xdr:spPr>
        <a:xfrm flipV="1">
          <a:off x="6943725" y="2066925"/>
          <a:ext cx="36195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18</xdr:row>
      <xdr:rowOff>9525</xdr:rowOff>
    </xdr:from>
    <xdr:to>
      <xdr:col>9</xdr:col>
      <xdr:colOff>257175</xdr:colOff>
      <xdr:row>21</xdr:row>
      <xdr:rowOff>9525</xdr:rowOff>
    </xdr:to>
    <xdr:sp>
      <xdr:nvSpPr>
        <xdr:cNvPr id="16" name="Straight Arrow Connector 21"/>
        <xdr:cNvSpPr>
          <a:spLocks/>
        </xdr:cNvSpPr>
      </xdr:nvSpPr>
      <xdr:spPr>
        <a:xfrm>
          <a:off x="6981825" y="2924175"/>
          <a:ext cx="51435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142875</xdr:rowOff>
    </xdr:from>
    <xdr:to>
      <xdr:col>11</xdr:col>
      <xdr:colOff>581025</xdr:colOff>
      <xdr:row>12</xdr:row>
      <xdr:rowOff>152400</xdr:rowOff>
    </xdr:to>
    <xdr:sp>
      <xdr:nvSpPr>
        <xdr:cNvPr id="17" name="Straight Arrow Connector 24"/>
        <xdr:cNvSpPr>
          <a:spLocks/>
        </xdr:cNvSpPr>
      </xdr:nvSpPr>
      <xdr:spPr>
        <a:xfrm rot="10800000" flipH="1" flipV="1">
          <a:off x="7734300" y="2085975"/>
          <a:ext cx="1285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22</xdr:row>
      <xdr:rowOff>19050</xdr:rowOff>
    </xdr:from>
    <xdr:to>
      <xdr:col>12</xdr:col>
      <xdr:colOff>133350</xdr:colOff>
      <xdr:row>22</xdr:row>
      <xdr:rowOff>47625</xdr:rowOff>
    </xdr:to>
    <xdr:sp>
      <xdr:nvSpPr>
        <xdr:cNvPr id="18" name="Straight Arrow Connector 26"/>
        <xdr:cNvSpPr>
          <a:spLocks/>
        </xdr:cNvSpPr>
      </xdr:nvSpPr>
      <xdr:spPr>
        <a:xfrm>
          <a:off x="7553325" y="3581400"/>
          <a:ext cx="16192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6</xdr:row>
      <xdr:rowOff>133350</xdr:rowOff>
    </xdr:from>
    <xdr:to>
      <xdr:col>15</xdr:col>
      <xdr:colOff>438150</xdr:colOff>
      <xdr:row>8</xdr:row>
      <xdr:rowOff>123825</xdr:rowOff>
    </xdr:to>
    <xdr:sp>
      <xdr:nvSpPr>
        <xdr:cNvPr id="19" name="Parallelogram 28"/>
        <xdr:cNvSpPr>
          <a:spLocks/>
        </xdr:cNvSpPr>
      </xdr:nvSpPr>
      <xdr:spPr>
        <a:xfrm>
          <a:off x="7581900" y="1104900"/>
          <a:ext cx="3695700" cy="314325"/>
        </a:xfrm>
        <a:prstGeom prst="parallelogram">
          <a:avLst>
            <a:gd name="adj" fmla="val -47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352425</xdr:colOff>
      <xdr:row>8</xdr:row>
      <xdr:rowOff>19050</xdr:rowOff>
    </xdr:from>
    <xdr:to>
      <xdr:col>15</xdr:col>
      <xdr:colOff>590550</xdr:colOff>
      <xdr:row>13</xdr:row>
      <xdr:rowOff>28575</xdr:rowOff>
    </xdr:to>
    <xdr:sp>
      <xdr:nvSpPr>
        <xdr:cNvPr id="20" name="Straight Arrow Connector 30"/>
        <xdr:cNvSpPr>
          <a:spLocks/>
        </xdr:cNvSpPr>
      </xdr:nvSpPr>
      <xdr:spPr>
        <a:xfrm rot="5400000" flipH="1" flipV="1">
          <a:off x="11191875" y="1314450"/>
          <a:ext cx="238125" cy="819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20" sqref="B20"/>
    </sheetView>
  </sheetViews>
  <sheetFormatPr defaultColWidth="9.00390625" defaultRowHeight="15.75" customHeight="1"/>
  <cols>
    <col min="1" max="1" width="16.140625" style="50" customWidth="1"/>
    <col min="2" max="2" width="14.7109375" style="50" bestFit="1" customWidth="1"/>
    <col min="3" max="3" width="14.8515625" style="50" bestFit="1" customWidth="1"/>
    <col min="4" max="4" width="16.57421875" style="50" bestFit="1" customWidth="1"/>
    <col min="5" max="5" width="14.8515625" style="50" bestFit="1" customWidth="1"/>
    <col min="6" max="6" width="13.00390625" style="50" bestFit="1" customWidth="1"/>
    <col min="7" max="7" width="11.140625" style="50" customWidth="1"/>
    <col min="8" max="16384" width="9.00390625" style="47" customWidth="1"/>
  </cols>
  <sheetData>
    <row r="1" spans="1:9" s="46" customFormat="1" ht="37.5" customHeight="1">
      <c r="A1" s="51" t="s">
        <v>142</v>
      </c>
      <c r="B1" s="52" t="s">
        <v>209</v>
      </c>
      <c r="C1" s="53" t="s">
        <v>210</v>
      </c>
      <c r="D1" s="53" t="s">
        <v>90</v>
      </c>
      <c r="E1" s="53" t="s">
        <v>211</v>
      </c>
      <c r="F1" s="53" t="s">
        <v>212</v>
      </c>
      <c r="G1" s="45"/>
      <c r="I1" s="45"/>
    </row>
    <row r="2" spans="1:8" ht="15.75" customHeight="1">
      <c r="A2" s="54" t="s">
        <v>149</v>
      </c>
      <c r="B2" s="55">
        <v>55</v>
      </c>
      <c r="C2" s="55"/>
      <c r="D2" s="55"/>
      <c r="E2" s="55">
        <v>42000</v>
      </c>
      <c r="F2" s="55">
        <v>600</v>
      </c>
      <c r="G2" s="48"/>
      <c r="H2" s="48"/>
    </row>
    <row r="3" spans="1:8" ht="15.75" customHeight="1">
      <c r="A3" s="54" t="s">
        <v>153</v>
      </c>
      <c r="B3" s="55">
        <v>87</v>
      </c>
      <c r="C3" s="55">
        <v>51</v>
      </c>
      <c r="D3" s="56">
        <v>6</v>
      </c>
      <c r="E3" s="55">
        <v>105200</v>
      </c>
      <c r="F3" s="55">
        <v>550</v>
      </c>
      <c r="G3" s="48"/>
      <c r="H3" s="48"/>
    </row>
    <row r="4" spans="1:8" ht="15.75" customHeight="1">
      <c r="A4" s="54" t="s">
        <v>131</v>
      </c>
      <c r="B4" s="55">
        <v>73</v>
      </c>
      <c r="C4" s="55">
        <v>38</v>
      </c>
      <c r="D4" s="55">
        <v>7</v>
      </c>
      <c r="E4" s="55">
        <v>65900</v>
      </c>
      <c r="F4" s="55">
        <v>500</v>
      </c>
      <c r="G4" s="48"/>
      <c r="H4" s="48"/>
    </row>
    <row r="5" spans="1:8" ht="15.75" customHeight="1">
      <c r="A5" s="54" t="s">
        <v>136</v>
      </c>
      <c r="B5" s="55">
        <v>156</v>
      </c>
      <c r="C5" s="55">
        <v>85</v>
      </c>
      <c r="D5" s="55">
        <v>9</v>
      </c>
      <c r="E5" s="55">
        <v>120000</v>
      </c>
      <c r="F5" s="55">
        <v>700</v>
      </c>
      <c r="G5" s="48"/>
      <c r="H5" s="48"/>
    </row>
    <row r="6" spans="1:8" ht="15.75" customHeight="1">
      <c r="A6" s="54" t="s">
        <v>213</v>
      </c>
      <c r="B6" s="55">
        <v>172</v>
      </c>
      <c r="C6" s="55">
        <v>104</v>
      </c>
      <c r="D6" s="56">
        <v>10</v>
      </c>
      <c r="E6" s="55">
        <v>136000</v>
      </c>
      <c r="F6" s="55">
        <v>650</v>
      </c>
      <c r="G6" s="48"/>
      <c r="H6" s="48"/>
    </row>
    <row r="7" spans="2:8" ht="15.75" customHeight="1">
      <c r="B7" s="48"/>
      <c r="C7" s="48"/>
      <c r="D7" s="48"/>
      <c r="E7" s="48"/>
      <c r="F7" s="49"/>
      <c r="G7" s="48"/>
      <c r="H7" s="48"/>
    </row>
    <row r="8" spans="1:8" ht="18" customHeight="1">
      <c r="A8" s="47" t="s">
        <v>214</v>
      </c>
      <c r="B8" s="48"/>
      <c r="C8" s="48"/>
      <c r="D8" s="48"/>
      <c r="E8" s="48"/>
      <c r="F8" s="48"/>
      <c r="G8" s="48"/>
      <c r="H8" s="48"/>
    </row>
    <row r="9" ht="18" customHeight="1">
      <c r="A9" s="47" t="s">
        <v>215</v>
      </c>
    </row>
    <row r="10" s="44" customFormat="1" ht="18" customHeight="1">
      <c r="A10" s="44" t="s">
        <v>216</v>
      </c>
    </row>
    <row r="11" s="44" customFormat="1" ht="18" customHeight="1">
      <c r="A11" s="44" t="s">
        <v>217</v>
      </c>
    </row>
    <row r="12" s="44" customFormat="1" ht="18" customHeight="1">
      <c r="A12" s="44" t="s">
        <v>218</v>
      </c>
    </row>
    <row r="13" s="44" customFormat="1" ht="18" customHeight="1">
      <c r="A13" s="44" t="s">
        <v>219</v>
      </c>
    </row>
    <row r="14" s="44" customFormat="1" ht="18" customHeight="1">
      <c r="A14" s="44" t="s">
        <v>220</v>
      </c>
    </row>
    <row r="15" s="44" customFormat="1" ht="18" customHeight="1">
      <c r="A15" s="44" t="s">
        <v>221</v>
      </c>
    </row>
    <row r="16" s="44" customFormat="1" ht="18" customHeight="1">
      <c r="A16" s="44" t="s">
        <v>222</v>
      </c>
    </row>
    <row r="17" s="44" customFormat="1" ht="18" customHeight="1">
      <c r="A17" s="44" t="s">
        <v>223</v>
      </c>
    </row>
    <row r="18" s="44" customFormat="1" ht="18" customHeight="1">
      <c r="A18" s="44" t="s">
        <v>224</v>
      </c>
    </row>
    <row r="19" s="44" customFormat="1" ht="18" customHeight="1">
      <c r="A19" s="44" t="s">
        <v>225</v>
      </c>
    </row>
    <row r="20" s="44" customFormat="1" ht="18" customHeight="1"/>
  </sheetData>
  <sheetProtection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00390625" defaultRowHeight="15.75" customHeight="1"/>
  <cols>
    <col min="1" max="1" width="16.140625" style="43" customWidth="1"/>
    <col min="2" max="2" width="11.140625" style="43" customWidth="1"/>
    <col min="3" max="3" width="12.140625" style="43" bestFit="1" customWidth="1"/>
    <col min="4" max="4" width="11.421875" style="43" bestFit="1" customWidth="1"/>
    <col min="5" max="5" width="13.00390625" style="43" bestFit="1" customWidth="1"/>
    <col min="6" max="6" width="11.140625" style="43" customWidth="1"/>
    <col min="7" max="7" width="13.140625" style="43" bestFit="1" customWidth="1"/>
    <col min="8" max="8" width="9.8515625" style="0" customWidth="1"/>
  </cols>
  <sheetData>
    <row r="1" spans="1:8" s="40" customFormat="1" ht="37.5" customHeight="1">
      <c r="A1" s="37" t="s">
        <v>142</v>
      </c>
      <c r="B1" s="38" t="s">
        <v>143</v>
      </c>
      <c r="C1" s="39" t="s">
        <v>144</v>
      </c>
      <c r="D1" s="39" t="s">
        <v>145</v>
      </c>
      <c r="E1" s="39" t="s">
        <v>146</v>
      </c>
      <c r="F1" s="39" t="s">
        <v>147</v>
      </c>
      <c r="G1" s="39" t="s">
        <v>148</v>
      </c>
      <c r="H1" s="40" t="s">
        <v>70</v>
      </c>
    </row>
    <row r="2" spans="1:8" ht="15.75" customHeight="1">
      <c r="A2" t="s">
        <v>149</v>
      </c>
      <c r="B2" s="41">
        <v>580</v>
      </c>
      <c r="C2" s="41">
        <v>40.9</v>
      </c>
      <c r="D2" s="41">
        <v>93.1</v>
      </c>
      <c r="E2" s="41">
        <v>1.6</v>
      </c>
      <c r="F2" s="41">
        <v>8.8</v>
      </c>
      <c r="G2" s="41">
        <v>15225</v>
      </c>
      <c r="H2" s="41">
        <v>15</v>
      </c>
    </row>
    <row r="3" spans="1:8" ht="15.75" customHeight="1">
      <c r="A3" t="s">
        <v>150</v>
      </c>
      <c r="B3" s="41">
        <v>579</v>
      </c>
      <c r="C3" s="41">
        <v>35.4</v>
      </c>
      <c r="D3" s="41">
        <v>64.8</v>
      </c>
      <c r="E3" s="41">
        <v>3.2</v>
      </c>
      <c r="F3" s="41">
        <v>7.8</v>
      </c>
      <c r="G3" s="41">
        <v>8431</v>
      </c>
      <c r="H3" s="41">
        <v>28</v>
      </c>
    </row>
    <row r="4" spans="1:8" ht="15.75" customHeight="1">
      <c r="A4" t="s">
        <v>151</v>
      </c>
      <c r="B4" s="41">
        <v>537</v>
      </c>
      <c r="C4" s="41">
        <v>32.6</v>
      </c>
      <c r="D4" s="41">
        <v>52.7</v>
      </c>
      <c r="E4" s="41">
        <v>2.4</v>
      </c>
      <c r="F4" s="41">
        <v>6.8</v>
      </c>
      <c r="G4" s="41">
        <v>7110</v>
      </c>
      <c r="H4" s="41">
        <v>32</v>
      </c>
    </row>
    <row r="5" spans="1:8" ht="15.75" customHeight="1">
      <c r="A5" t="s">
        <v>152</v>
      </c>
      <c r="B5" s="41">
        <v>535</v>
      </c>
      <c r="C5" s="41">
        <v>42.3</v>
      </c>
      <c r="D5" s="41">
        <v>50.3</v>
      </c>
      <c r="E5" s="41">
        <v>2.6</v>
      </c>
      <c r="F5" s="41">
        <v>7.8</v>
      </c>
      <c r="G5" s="41">
        <v>9868</v>
      </c>
      <c r="H5" s="41">
        <v>99</v>
      </c>
    </row>
    <row r="6" spans="1:8" ht="15.75" customHeight="1">
      <c r="A6" t="s">
        <v>153</v>
      </c>
      <c r="B6" s="41">
        <v>560</v>
      </c>
      <c r="C6" s="41">
        <v>40.4</v>
      </c>
      <c r="D6" s="42">
        <v>66</v>
      </c>
      <c r="E6" s="41">
        <v>2.5</v>
      </c>
      <c r="F6" s="41">
        <v>7.4</v>
      </c>
      <c r="G6" s="41">
        <v>11889</v>
      </c>
      <c r="H6" s="41">
        <v>21</v>
      </c>
    </row>
    <row r="7" spans="1:8" ht="15.75" customHeight="1">
      <c r="A7" t="s">
        <v>154</v>
      </c>
      <c r="B7" s="41">
        <v>538</v>
      </c>
      <c r="C7" s="41">
        <v>43.6</v>
      </c>
      <c r="D7" s="41">
        <v>60.9</v>
      </c>
      <c r="E7" s="41">
        <v>2.5</v>
      </c>
      <c r="F7" s="42">
        <v>8</v>
      </c>
      <c r="G7" s="41">
        <v>10904</v>
      </c>
      <c r="H7" s="41">
        <v>71</v>
      </c>
    </row>
    <row r="8" spans="1:8" ht="15.75" customHeight="1">
      <c r="A8" t="s">
        <v>155</v>
      </c>
      <c r="B8" s="41">
        <v>645</v>
      </c>
      <c r="C8" s="41">
        <v>44.4</v>
      </c>
      <c r="D8" s="41">
        <v>82.8</v>
      </c>
      <c r="E8" s="41">
        <v>2.8</v>
      </c>
      <c r="F8" s="41">
        <v>7.7</v>
      </c>
      <c r="G8" s="41">
        <v>13304</v>
      </c>
      <c r="H8" s="41">
        <v>15</v>
      </c>
    </row>
    <row r="10" s="37" customFormat="1" ht="21.75" customHeight="1">
      <c r="A10" s="37" t="s">
        <v>156</v>
      </c>
    </row>
    <row r="11" s="37" customFormat="1" ht="21.75" customHeight="1">
      <c r="A11" s="37" t="s">
        <v>157</v>
      </c>
    </row>
    <row r="12" s="37" customFormat="1" ht="21.75" customHeight="1">
      <c r="A12" s="37" t="s">
        <v>158</v>
      </c>
    </row>
    <row r="13" s="37" customFormat="1" ht="21.75" customHeight="1">
      <c r="A13" s="37" t="s">
        <v>159</v>
      </c>
    </row>
    <row r="14" s="37" customFormat="1" ht="21.75" customHeight="1">
      <c r="A14" s="37" t="s">
        <v>160</v>
      </c>
    </row>
    <row r="15" s="37" customFormat="1" ht="21.75" customHeight="1">
      <c r="A15" s="37" t="s">
        <v>161</v>
      </c>
    </row>
    <row r="16" s="37" customFormat="1" ht="21.75" customHeight="1">
      <c r="A16" s="37" t="s">
        <v>162</v>
      </c>
    </row>
    <row r="17" s="37" customFormat="1" ht="12" customHeight="1"/>
    <row r="18" s="37" customFormat="1" ht="21.75" customHeight="1">
      <c r="A18" s="37" t="s">
        <v>163</v>
      </c>
    </row>
    <row r="19" s="37" customFormat="1" ht="21.75" customHeight="1">
      <c r="A19" s="37" t="s">
        <v>164</v>
      </c>
    </row>
    <row r="20" s="37" customFormat="1" ht="21.75" customHeight="1">
      <c r="A20" s="37" t="s">
        <v>165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0">
      <selection activeCell="A51" sqref="A51"/>
    </sheetView>
  </sheetViews>
  <sheetFormatPr defaultColWidth="9.00390625" defaultRowHeight="15.75" customHeight="1"/>
  <cols>
    <col min="1" max="1" width="19.421875" style="43" customWidth="1"/>
    <col min="2" max="7" width="11.140625" style="43" customWidth="1"/>
  </cols>
  <sheetData>
    <row r="1" spans="1:8" s="40" customFormat="1" ht="37.5" customHeight="1">
      <c r="A1" s="37" t="s">
        <v>142</v>
      </c>
      <c r="B1" s="38" t="s">
        <v>143</v>
      </c>
      <c r="C1" s="39" t="s">
        <v>144</v>
      </c>
      <c r="D1" s="39" t="s">
        <v>145</v>
      </c>
      <c r="E1" s="39" t="s">
        <v>146</v>
      </c>
      <c r="F1" s="39" t="s">
        <v>147</v>
      </c>
      <c r="G1" s="39" t="s">
        <v>148</v>
      </c>
      <c r="H1" s="40" t="s">
        <v>70</v>
      </c>
    </row>
    <row r="2" spans="1:8" ht="15.75" customHeight="1">
      <c r="A2" t="s">
        <v>166</v>
      </c>
      <c r="B2" s="41">
        <v>688</v>
      </c>
      <c r="C2" s="41">
        <v>50.5</v>
      </c>
      <c r="D2" s="41">
        <v>69.2</v>
      </c>
      <c r="E2" s="41">
        <v>3.1</v>
      </c>
      <c r="F2" s="41">
        <v>7.1</v>
      </c>
      <c r="G2" s="41">
        <v>12876</v>
      </c>
      <c r="H2" s="41">
        <v>15</v>
      </c>
    </row>
    <row r="3" spans="1:8" ht="15.75" customHeight="1">
      <c r="A3" t="s">
        <v>167</v>
      </c>
      <c r="B3" s="41">
        <v>1170</v>
      </c>
      <c r="C3" s="41">
        <v>79.5</v>
      </c>
      <c r="D3" s="41">
        <v>117.8</v>
      </c>
      <c r="E3" s="41">
        <v>3.7</v>
      </c>
      <c r="F3" s="41">
        <v>11.8</v>
      </c>
      <c r="G3" s="41">
        <v>20827</v>
      </c>
      <c r="H3" s="41">
        <v>20</v>
      </c>
    </row>
    <row r="4" spans="1:8" ht="15.75" customHeight="1">
      <c r="A4" t="s">
        <v>168</v>
      </c>
      <c r="B4" s="41">
        <v>694</v>
      </c>
      <c r="C4" s="41">
        <v>59.8</v>
      </c>
      <c r="D4" s="41">
        <v>75.5</v>
      </c>
      <c r="E4" s="41">
        <v>3.5</v>
      </c>
      <c r="F4" s="41">
        <v>8.8</v>
      </c>
      <c r="G4" s="41">
        <v>12912</v>
      </c>
      <c r="H4" s="41">
        <v>39</v>
      </c>
    </row>
    <row r="5" spans="1:8" ht="15.75" customHeight="1">
      <c r="A5" t="s">
        <v>169</v>
      </c>
      <c r="B5" s="41">
        <v>1170</v>
      </c>
      <c r="C5" s="41">
        <v>76.7</v>
      </c>
      <c r="D5" s="41">
        <v>104.9</v>
      </c>
      <c r="E5" s="41">
        <v>4.8</v>
      </c>
      <c r="F5" s="41">
        <v>11.3</v>
      </c>
      <c r="G5" s="41">
        <v>16694</v>
      </c>
      <c r="H5" s="41">
        <v>12</v>
      </c>
    </row>
    <row r="6" spans="1:8" ht="15.75" customHeight="1">
      <c r="A6" t="s">
        <v>170</v>
      </c>
      <c r="B6" s="41">
        <v>803</v>
      </c>
      <c r="C6" s="41">
        <v>48.1</v>
      </c>
      <c r="D6" s="42">
        <v>87.9</v>
      </c>
      <c r="E6" s="41">
        <v>3.2</v>
      </c>
      <c r="F6" s="41">
        <v>9.8</v>
      </c>
      <c r="G6" s="41">
        <v>13481</v>
      </c>
      <c r="H6" s="41">
        <v>10</v>
      </c>
    </row>
    <row r="7" spans="1:8" ht="15.75" customHeight="1">
      <c r="A7" t="s">
        <v>171</v>
      </c>
      <c r="B7" s="41">
        <v>677</v>
      </c>
      <c r="C7" s="41">
        <v>59.1</v>
      </c>
      <c r="D7" s="41">
        <v>79.7</v>
      </c>
      <c r="E7" s="42">
        <v>3</v>
      </c>
      <c r="F7" s="42">
        <v>5.9</v>
      </c>
      <c r="G7" s="41">
        <v>14098</v>
      </c>
      <c r="H7" s="41">
        <v>11</v>
      </c>
    </row>
    <row r="8" spans="1:8" ht="15.75" customHeight="1">
      <c r="A8" t="s">
        <v>172</v>
      </c>
      <c r="B8" s="41">
        <v>871</v>
      </c>
      <c r="C8" s="42">
        <v>52</v>
      </c>
      <c r="D8" s="41">
        <v>84.9</v>
      </c>
      <c r="E8" s="41">
        <v>6.2</v>
      </c>
      <c r="F8" s="41">
        <v>11.1</v>
      </c>
      <c r="G8" s="41">
        <v>14613</v>
      </c>
      <c r="H8" s="41">
        <v>12</v>
      </c>
    </row>
    <row r="9" spans="1:8" ht="15.75" customHeight="1">
      <c r="A9" t="s">
        <v>173</v>
      </c>
      <c r="B9" s="41">
        <v>801</v>
      </c>
      <c r="C9" s="42">
        <v>56</v>
      </c>
      <c r="D9" s="41">
        <v>120.2</v>
      </c>
      <c r="E9" s="41">
        <v>4.1</v>
      </c>
      <c r="F9" s="41">
        <v>8.2</v>
      </c>
      <c r="G9" s="41">
        <v>16224</v>
      </c>
      <c r="H9" s="41">
        <v>31</v>
      </c>
    </row>
    <row r="10" spans="1:8" ht="15.75" customHeight="1">
      <c r="A10" t="s">
        <v>174</v>
      </c>
      <c r="B10" s="41">
        <v>759</v>
      </c>
      <c r="C10" s="41">
        <v>54.8</v>
      </c>
      <c r="D10" s="41">
        <v>99.5</v>
      </c>
      <c r="E10" s="41">
        <v>7.5</v>
      </c>
      <c r="F10" s="41">
        <v>12.8</v>
      </c>
      <c r="G10" s="41">
        <v>11105</v>
      </c>
      <c r="H10" s="41">
        <v>12</v>
      </c>
    </row>
    <row r="11" spans="1:8" ht="15.75" customHeight="1">
      <c r="A11" t="s">
        <v>175</v>
      </c>
      <c r="B11" s="41">
        <v>504</v>
      </c>
      <c r="C11" s="42">
        <v>39</v>
      </c>
      <c r="D11" s="41">
        <v>58.1</v>
      </c>
      <c r="E11" s="42">
        <v>3</v>
      </c>
      <c r="F11" s="41">
        <v>6.1</v>
      </c>
      <c r="G11" s="41">
        <v>9839</v>
      </c>
      <c r="H11" s="41">
        <v>21</v>
      </c>
    </row>
    <row r="12" spans="1:8" ht="15.75" customHeight="1">
      <c r="A12" t="s">
        <v>176</v>
      </c>
      <c r="B12" s="41">
        <v>500</v>
      </c>
      <c r="C12" s="41">
        <v>31.5</v>
      </c>
      <c r="D12" s="41">
        <v>71.4</v>
      </c>
      <c r="E12" s="42">
        <v>3</v>
      </c>
      <c r="F12" s="41">
        <v>5.6</v>
      </c>
      <c r="G12" s="41">
        <v>8058</v>
      </c>
      <c r="H12" s="41">
        <v>10</v>
      </c>
    </row>
    <row r="13" spans="1:8" ht="15.75" customHeight="1">
      <c r="A13" t="s">
        <v>177</v>
      </c>
      <c r="B13" s="41">
        <v>1090</v>
      </c>
      <c r="C13" s="41">
        <v>93.2</v>
      </c>
      <c r="D13" s="41">
        <v>133.5</v>
      </c>
      <c r="E13" s="41">
        <v>2.9</v>
      </c>
      <c r="F13" s="41">
        <v>10.7</v>
      </c>
      <c r="G13" s="41">
        <v>23002</v>
      </c>
      <c r="H13" s="41">
        <v>12</v>
      </c>
    </row>
    <row r="14" spans="1:8" ht="15.75" customHeight="1">
      <c r="A14" t="s">
        <v>178</v>
      </c>
      <c r="B14" s="41">
        <v>838</v>
      </c>
      <c r="C14" s="41">
        <v>54.4</v>
      </c>
      <c r="D14" s="41">
        <v>62.1</v>
      </c>
      <c r="E14" s="41">
        <v>3.3</v>
      </c>
      <c r="F14" s="41">
        <v>10.4</v>
      </c>
      <c r="G14" s="41">
        <v>13627</v>
      </c>
      <c r="H14" s="41">
        <v>33</v>
      </c>
    </row>
    <row r="15" spans="1:8" ht="15.75" customHeight="1">
      <c r="A15" t="s">
        <v>179</v>
      </c>
      <c r="B15" s="41">
        <v>1221</v>
      </c>
      <c r="C15" s="41">
        <v>83.8</v>
      </c>
      <c r="D15" s="41">
        <v>86.2</v>
      </c>
      <c r="E15" s="41">
        <v>3.3</v>
      </c>
      <c r="F15" s="41">
        <v>11.1</v>
      </c>
      <c r="G15" s="41">
        <v>19426</v>
      </c>
      <c r="H15" s="41">
        <v>13</v>
      </c>
    </row>
    <row r="16" spans="1:8" ht="15.75" customHeight="1">
      <c r="A16" t="s">
        <v>180</v>
      </c>
      <c r="B16" s="41">
        <v>705</v>
      </c>
      <c r="C16" s="41">
        <v>47.3</v>
      </c>
      <c r="D16" s="41">
        <v>69.4</v>
      </c>
      <c r="E16" s="41">
        <v>4.6</v>
      </c>
      <c r="F16" s="41">
        <v>9.5</v>
      </c>
      <c r="G16" s="41">
        <v>13409</v>
      </c>
      <c r="H16" s="41">
        <v>24</v>
      </c>
    </row>
    <row r="17" spans="1:8" ht="15.75" customHeight="1">
      <c r="A17" t="s">
        <v>181</v>
      </c>
      <c r="B17" s="41">
        <v>899</v>
      </c>
      <c r="C17" s="42">
        <v>48</v>
      </c>
      <c r="D17" s="41">
        <v>78.1</v>
      </c>
      <c r="E17" s="41">
        <v>4.6</v>
      </c>
      <c r="F17" s="42">
        <v>9</v>
      </c>
      <c r="G17" s="41">
        <v>13286</v>
      </c>
      <c r="H17" s="41">
        <v>18</v>
      </c>
    </row>
    <row r="18" spans="1:8" ht="15.75" customHeight="1">
      <c r="A18" t="s">
        <v>182</v>
      </c>
      <c r="B18" s="41">
        <v>999</v>
      </c>
      <c r="C18" s="42">
        <v>62</v>
      </c>
      <c r="D18" s="41">
        <v>123.6</v>
      </c>
      <c r="E18" s="41">
        <v>3.9</v>
      </c>
      <c r="F18" s="41">
        <v>10.7</v>
      </c>
      <c r="G18" s="41">
        <v>18421</v>
      </c>
      <c r="H18" s="41">
        <v>68</v>
      </c>
    </row>
    <row r="19" spans="1:8" ht="15.75" customHeight="1">
      <c r="A19" t="s">
        <v>183</v>
      </c>
      <c r="B19" s="41">
        <v>822</v>
      </c>
      <c r="C19" s="41">
        <v>51.8</v>
      </c>
      <c r="D19" s="41">
        <v>90.8</v>
      </c>
      <c r="E19" s="42">
        <v>4</v>
      </c>
      <c r="F19" s="41">
        <v>10.5</v>
      </c>
      <c r="G19" s="41">
        <v>13963</v>
      </c>
      <c r="H19" s="41">
        <v>21</v>
      </c>
    </row>
    <row r="20" spans="1:8" ht="15.75" customHeight="1">
      <c r="A20" t="s">
        <v>184</v>
      </c>
      <c r="B20" s="41">
        <v>690</v>
      </c>
      <c r="C20" s="41">
        <v>48.9</v>
      </c>
      <c r="D20" s="41">
        <v>139.2</v>
      </c>
      <c r="E20" s="41">
        <v>6.9</v>
      </c>
      <c r="F20" s="41">
        <v>9.8</v>
      </c>
      <c r="G20" s="41">
        <v>18029</v>
      </c>
      <c r="H20" s="41">
        <v>15</v>
      </c>
    </row>
    <row r="21" spans="1:8" ht="15.75" customHeight="1">
      <c r="A21" t="s">
        <v>185</v>
      </c>
      <c r="B21" s="41">
        <v>640</v>
      </c>
      <c r="C21" s="41">
        <v>40.3</v>
      </c>
      <c r="D21" s="41">
        <v>70.2</v>
      </c>
      <c r="E21" s="41">
        <v>2.6</v>
      </c>
      <c r="F21" s="42">
        <v>7</v>
      </c>
      <c r="G21" s="41">
        <v>12813</v>
      </c>
      <c r="H21" s="41">
        <v>103</v>
      </c>
    </row>
    <row r="22" spans="1:8" ht="15.75" customHeight="1">
      <c r="A22" t="s">
        <v>186</v>
      </c>
      <c r="B22" s="41">
        <v>931</v>
      </c>
      <c r="C22" s="41">
        <v>63.5</v>
      </c>
      <c r="D22" s="41">
        <v>115.6</v>
      </c>
      <c r="E22" s="41">
        <v>4.1</v>
      </c>
      <c r="F22" s="41">
        <v>10.6</v>
      </c>
      <c r="G22" s="41">
        <v>18099</v>
      </c>
      <c r="H22" s="41">
        <v>53</v>
      </c>
    </row>
    <row r="23" spans="1:8" ht="15.75" customHeight="1">
      <c r="A23" t="s">
        <v>187</v>
      </c>
      <c r="B23" s="41">
        <v>924</v>
      </c>
      <c r="C23" s="41">
        <v>48.3</v>
      </c>
      <c r="D23" s="41">
        <v>83.7</v>
      </c>
      <c r="E23" s="41">
        <v>4.8</v>
      </c>
      <c r="F23" s="41">
        <v>10.3</v>
      </c>
      <c r="G23" s="41">
        <v>14431</v>
      </c>
      <c r="H23" s="41">
        <v>10</v>
      </c>
    </row>
    <row r="24" spans="1:8" ht="15.75" customHeight="1">
      <c r="A24" t="s">
        <v>188</v>
      </c>
      <c r="B24" s="41">
        <v>929</v>
      </c>
      <c r="C24" s="41">
        <v>54.9</v>
      </c>
      <c r="D24" s="41">
        <v>118.6</v>
      </c>
      <c r="E24" s="41">
        <v>4.5</v>
      </c>
      <c r="F24" s="41">
        <v>10.3</v>
      </c>
      <c r="G24" s="41">
        <v>16782</v>
      </c>
      <c r="H24" s="41">
        <v>31</v>
      </c>
    </row>
    <row r="25" spans="1:8" ht="15.75" customHeight="1">
      <c r="A25" t="s">
        <v>189</v>
      </c>
      <c r="B25" s="41">
        <v>1087</v>
      </c>
      <c r="C25" s="41">
        <v>72.7</v>
      </c>
      <c r="D25" s="41">
        <v>147.4</v>
      </c>
      <c r="E25" s="41">
        <v>4.7</v>
      </c>
      <c r="F25" s="41">
        <v>12.4</v>
      </c>
      <c r="G25" s="41">
        <v>19881</v>
      </c>
      <c r="H25" s="41">
        <v>29</v>
      </c>
    </row>
    <row r="26" spans="1:8" ht="15.75" customHeight="1">
      <c r="A26" t="s">
        <v>190</v>
      </c>
      <c r="B26" s="41">
        <v>952</v>
      </c>
      <c r="C26" s="41">
        <v>51.6</v>
      </c>
      <c r="D26" s="41">
        <v>89.1</v>
      </c>
      <c r="E26" s="41">
        <v>4.7</v>
      </c>
      <c r="F26" s="41">
        <v>9.7</v>
      </c>
      <c r="G26" s="41">
        <v>15561</v>
      </c>
      <c r="H26" s="41">
        <v>63</v>
      </c>
    </row>
    <row r="27" spans="1:8" ht="15.75" customHeight="1">
      <c r="A27" t="s">
        <v>191</v>
      </c>
      <c r="B27" s="41">
        <v>948</v>
      </c>
      <c r="C27" s="41">
        <v>78.5</v>
      </c>
      <c r="D27" s="41">
        <v>125.6</v>
      </c>
      <c r="E27" s="42">
        <v>6</v>
      </c>
      <c r="F27" s="41">
        <v>12.9</v>
      </c>
      <c r="G27" s="41">
        <v>19360</v>
      </c>
      <c r="H27" s="41">
        <v>70</v>
      </c>
    </row>
    <row r="28" spans="1:8" ht="15.75" customHeight="1">
      <c r="A28" t="s">
        <v>192</v>
      </c>
      <c r="B28" s="41">
        <v>731</v>
      </c>
      <c r="C28" s="41">
        <v>46.8</v>
      </c>
      <c r="D28" s="41">
        <v>95.5</v>
      </c>
      <c r="E28" s="42">
        <v>4</v>
      </c>
      <c r="F28" s="41">
        <v>8.2</v>
      </c>
      <c r="G28" s="41">
        <v>14933</v>
      </c>
      <c r="H28" s="41">
        <v>67</v>
      </c>
    </row>
    <row r="29" spans="1:8" ht="15.75" customHeight="1">
      <c r="A29" t="s">
        <v>193</v>
      </c>
      <c r="B29" s="41">
        <v>899</v>
      </c>
      <c r="C29" s="41">
        <v>57.7</v>
      </c>
      <c r="D29" s="41">
        <v>115.9</v>
      </c>
      <c r="E29" s="41">
        <v>4.6</v>
      </c>
      <c r="F29" s="41">
        <v>9.7</v>
      </c>
      <c r="G29" s="41">
        <v>17198</v>
      </c>
      <c r="H29" s="41">
        <v>29</v>
      </c>
    </row>
    <row r="30" spans="1:8" ht="15.75" customHeight="1">
      <c r="A30" t="s">
        <v>194</v>
      </c>
      <c r="B30" s="41">
        <v>755</v>
      </c>
      <c r="C30" s="41">
        <v>53.9</v>
      </c>
      <c r="D30" s="41">
        <v>100.9</v>
      </c>
      <c r="E30" s="41">
        <v>2.7</v>
      </c>
      <c r="F30" s="41">
        <v>9.2</v>
      </c>
      <c r="G30" s="41">
        <v>14617</v>
      </c>
      <c r="H30" s="41">
        <v>8</v>
      </c>
    </row>
    <row r="31" spans="1:8" ht="15.75" customHeight="1">
      <c r="A31" t="s">
        <v>195</v>
      </c>
      <c r="B31" s="41">
        <v>889</v>
      </c>
      <c r="C31" s="41">
        <v>42.7</v>
      </c>
      <c r="D31" s="41">
        <v>90.4</v>
      </c>
      <c r="E31" s="42">
        <v>3</v>
      </c>
      <c r="F31" s="41">
        <v>9.4</v>
      </c>
      <c r="G31" s="41">
        <v>14577</v>
      </c>
      <c r="H31" s="41">
        <v>8</v>
      </c>
    </row>
    <row r="32" spans="1:8" ht="15.75" customHeight="1">
      <c r="A32" t="s">
        <v>196</v>
      </c>
      <c r="B32" s="41">
        <v>739</v>
      </c>
      <c r="C32" s="42">
        <v>46</v>
      </c>
      <c r="D32" s="41">
        <v>85.1</v>
      </c>
      <c r="E32" s="41">
        <v>4.1</v>
      </c>
      <c r="F32" s="41">
        <v>8.3</v>
      </c>
      <c r="G32" s="41">
        <v>13166</v>
      </c>
      <c r="H32" s="41">
        <v>86</v>
      </c>
    </row>
    <row r="33" spans="1:8" ht="15.75" customHeight="1">
      <c r="A33" t="s">
        <v>197</v>
      </c>
      <c r="B33" s="41">
        <v>892</v>
      </c>
      <c r="C33" s="41">
        <v>78.4</v>
      </c>
      <c r="D33" s="42">
        <v>108</v>
      </c>
      <c r="E33" s="41">
        <v>6.9</v>
      </c>
      <c r="F33" s="41">
        <v>11.9</v>
      </c>
      <c r="G33" s="41">
        <v>18359</v>
      </c>
      <c r="H33" s="41">
        <v>12</v>
      </c>
    </row>
    <row r="34" spans="1:8" ht="15.75" customHeight="1">
      <c r="A34" t="s">
        <v>198</v>
      </c>
      <c r="B34" s="41">
        <v>825</v>
      </c>
      <c r="C34" s="41">
        <v>71.4</v>
      </c>
      <c r="D34" s="41">
        <v>115.6</v>
      </c>
      <c r="E34" s="41">
        <v>4.2</v>
      </c>
      <c r="F34" s="41">
        <v>12.5</v>
      </c>
      <c r="G34" s="41">
        <v>14624</v>
      </c>
      <c r="H34" s="41">
        <v>11</v>
      </c>
    </row>
    <row r="35" spans="1:8" ht="15.75" customHeight="1">
      <c r="A35" t="s">
        <v>199</v>
      </c>
      <c r="B35" s="41">
        <v>919</v>
      </c>
      <c r="C35" s="41">
        <v>62.4</v>
      </c>
      <c r="D35" s="41">
        <v>70.9</v>
      </c>
      <c r="E35" s="41">
        <v>5.5</v>
      </c>
      <c r="F35" s="41">
        <v>15.5</v>
      </c>
      <c r="G35" s="41">
        <v>17212</v>
      </c>
      <c r="H35" s="41">
        <v>13</v>
      </c>
    </row>
    <row r="36" spans="1:8" ht="15.75" customHeight="1">
      <c r="A36" t="s">
        <v>200</v>
      </c>
      <c r="B36" s="41">
        <v>1068</v>
      </c>
      <c r="C36" s="42">
        <v>76</v>
      </c>
      <c r="D36" s="41">
        <v>96.8</v>
      </c>
      <c r="E36" s="41">
        <v>3.1</v>
      </c>
      <c r="F36" s="41">
        <v>13.1</v>
      </c>
      <c r="G36" s="41">
        <v>18011</v>
      </c>
      <c r="H36" s="41">
        <v>22</v>
      </c>
    </row>
    <row r="37" spans="1:8" ht="15.75" customHeight="1">
      <c r="A37" t="s">
        <v>201</v>
      </c>
      <c r="B37" s="41">
        <v>1074</v>
      </c>
      <c r="C37" s="41">
        <v>93.3</v>
      </c>
      <c r="D37" s="41">
        <v>157.5</v>
      </c>
      <c r="E37" s="41">
        <v>3.2</v>
      </c>
      <c r="F37" s="41">
        <v>15.7</v>
      </c>
      <c r="G37" s="41">
        <v>23607</v>
      </c>
      <c r="H37" s="41">
        <v>20</v>
      </c>
    </row>
    <row r="38" spans="1:8" ht="15.75" customHeight="1">
      <c r="A38" t="s">
        <v>202</v>
      </c>
      <c r="B38" s="41">
        <v>684</v>
      </c>
      <c r="C38" s="41">
        <v>56.5</v>
      </c>
      <c r="D38" s="41">
        <v>111.9</v>
      </c>
      <c r="E38" s="41">
        <v>3.3</v>
      </c>
      <c r="F38" s="42">
        <v>9</v>
      </c>
      <c r="G38" s="41">
        <v>14185</v>
      </c>
      <c r="H38" s="41">
        <v>24</v>
      </c>
    </row>
    <row r="39" spans="1:8" ht="15.75" customHeight="1">
      <c r="A39" t="s">
        <v>203</v>
      </c>
      <c r="B39" s="41">
        <v>1143</v>
      </c>
      <c r="C39" s="41">
        <v>82.9</v>
      </c>
      <c r="D39" s="41">
        <v>138.5</v>
      </c>
      <c r="E39" s="41">
        <v>5.4</v>
      </c>
      <c r="F39" s="41">
        <v>14.9</v>
      </c>
      <c r="G39" s="41">
        <v>22733</v>
      </c>
      <c r="H39" s="41">
        <v>12</v>
      </c>
    </row>
    <row r="40" spans="1:8" ht="15.75" customHeight="1">
      <c r="A40" t="s">
        <v>204</v>
      </c>
      <c r="B40" s="41">
        <v>856</v>
      </c>
      <c r="C40" s="41">
        <v>71.4</v>
      </c>
      <c r="D40" s="41">
        <v>89.1</v>
      </c>
      <c r="E40" s="41">
        <v>2.7</v>
      </c>
      <c r="F40" s="41">
        <v>10.6</v>
      </c>
      <c r="G40" s="41">
        <v>18971</v>
      </c>
      <c r="H40" s="41">
        <v>16</v>
      </c>
    </row>
    <row r="41" spans="1:8" ht="15.75" customHeight="1">
      <c r="A41" t="s">
        <v>205</v>
      </c>
      <c r="B41" s="41">
        <v>756</v>
      </c>
      <c r="C41" s="41">
        <v>69.9</v>
      </c>
      <c r="D41" s="41">
        <v>82.5</v>
      </c>
      <c r="E41" s="41">
        <v>3.9</v>
      </c>
      <c r="F41" s="41">
        <v>10.6</v>
      </c>
      <c r="G41" s="41">
        <v>14719</v>
      </c>
      <c r="H41" s="41">
        <v>12</v>
      </c>
    </row>
    <row r="42" spans="1:8" ht="15.75" customHeight="1">
      <c r="A42" t="s">
        <v>206</v>
      </c>
      <c r="B42" s="41">
        <v>544</v>
      </c>
      <c r="C42" s="41">
        <v>37.8</v>
      </c>
      <c r="D42" s="41">
        <v>58.1</v>
      </c>
      <c r="E42" s="41">
        <v>2.6</v>
      </c>
      <c r="F42" s="41">
        <v>5.8</v>
      </c>
      <c r="G42" s="41">
        <v>9067</v>
      </c>
      <c r="H42" s="41">
        <v>11</v>
      </c>
    </row>
    <row r="43" spans="1:8" ht="15.75" customHeight="1">
      <c r="A43" t="s">
        <v>207</v>
      </c>
      <c r="B43" s="41">
        <v>1106</v>
      </c>
      <c r="C43" s="41">
        <v>95.2</v>
      </c>
      <c r="D43" s="41">
        <v>123.4</v>
      </c>
      <c r="E43" s="41">
        <v>3.4</v>
      </c>
      <c r="F43" s="41">
        <v>11.8</v>
      </c>
      <c r="G43" s="41">
        <v>21724</v>
      </c>
      <c r="H43" s="41">
        <v>12</v>
      </c>
    </row>
    <row r="44" spans="1:8" ht="15.75" customHeight="1">
      <c r="A44" t="s">
        <v>208</v>
      </c>
      <c r="B44" s="41">
        <v>940</v>
      </c>
      <c r="C44" s="41">
        <v>79.5</v>
      </c>
      <c r="D44" s="41">
        <v>78.8</v>
      </c>
      <c r="E44" s="41">
        <v>3.9</v>
      </c>
      <c r="F44" s="41">
        <v>12.2</v>
      </c>
      <c r="G44" s="41">
        <v>19583</v>
      </c>
      <c r="H44" s="41">
        <v>10</v>
      </c>
    </row>
    <row r="46" spans="1:8" ht="15.75" customHeight="1">
      <c r="A46" s="37" t="s">
        <v>156</v>
      </c>
      <c r="B46" s="37"/>
      <c r="C46" s="37"/>
      <c r="D46" s="37"/>
      <c r="E46" s="37"/>
      <c r="F46" s="37"/>
      <c r="G46" s="37"/>
      <c r="H46" s="37"/>
    </row>
    <row r="47" spans="1:8" ht="15.75" customHeight="1">
      <c r="A47" s="37" t="s">
        <v>157</v>
      </c>
      <c r="B47" s="37"/>
      <c r="C47" s="37"/>
      <c r="D47" s="37"/>
      <c r="E47" s="37"/>
      <c r="F47" s="37"/>
      <c r="G47" s="37"/>
      <c r="H47" s="37"/>
    </row>
    <row r="48" spans="1:8" ht="15.75" customHeight="1">
      <c r="A48" s="37" t="s">
        <v>158</v>
      </c>
      <c r="B48" s="37"/>
      <c r="C48" s="37"/>
      <c r="D48" s="37"/>
      <c r="E48" s="37"/>
      <c r="F48" s="37"/>
      <c r="G48" s="37"/>
      <c r="H48" s="37"/>
    </row>
    <row r="49" spans="1:8" ht="15.75" customHeight="1">
      <c r="A49" s="37" t="s">
        <v>159</v>
      </c>
      <c r="B49" s="37"/>
      <c r="C49" s="37"/>
      <c r="D49" s="37"/>
      <c r="E49" s="37"/>
      <c r="F49" s="37"/>
      <c r="G49" s="37"/>
      <c r="H49" s="37"/>
    </row>
    <row r="50" spans="1:8" ht="15.75" customHeight="1">
      <c r="A50" s="37" t="s">
        <v>160</v>
      </c>
      <c r="B50" s="37"/>
      <c r="C50" s="37"/>
      <c r="D50" s="37"/>
      <c r="E50" s="37"/>
      <c r="F50" s="37"/>
      <c r="G50" s="37"/>
      <c r="H50" s="37"/>
    </row>
    <row r="51" spans="1:8" ht="15.75" customHeight="1">
      <c r="A51" s="37" t="s">
        <v>161</v>
      </c>
      <c r="B51" s="37"/>
      <c r="C51" s="37"/>
      <c r="D51" s="37"/>
      <c r="E51" s="37"/>
      <c r="F51" s="37"/>
      <c r="G51" s="37"/>
      <c r="H51" s="37"/>
    </row>
    <row r="52" spans="1:8" ht="15.75" customHeight="1">
      <c r="A52" s="37" t="s">
        <v>162</v>
      </c>
      <c r="B52" s="37"/>
      <c r="C52" s="37"/>
      <c r="D52" s="37"/>
      <c r="E52" s="37"/>
      <c r="F52" s="37"/>
      <c r="G52" s="37"/>
      <c r="H52" s="37"/>
    </row>
    <row r="53" spans="1:8" ht="15.75" customHeight="1">
      <c r="A53" s="37"/>
      <c r="B53" s="37"/>
      <c r="C53" s="37"/>
      <c r="D53" s="37"/>
      <c r="E53" s="37"/>
      <c r="F53" s="37"/>
      <c r="G53" s="37"/>
      <c r="H53" s="37"/>
    </row>
    <row r="54" spans="1:8" ht="15.75" customHeight="1">
      <c r="A54" s="37" t="s">
        <v>163</v>
      </c>
      <c r="B54" s="37"/>
      <c r="C54" s="37"/>
      <c r="D54" s="37"/>
      <c r="E54" s="37"/>
      <c r="F54" s="37"/>
      <c r="G54" s="37"/>
      <c r="H54" s="37"/>
    </row>
    <row r="55" spans="1:8" ht="15.75" customHeight="1">
      <c r="A55" s="37" t="s">
        <v>164</v>
      </c>
      <c r="B55" s="37"/>
      <c r="C55" s="37"/>
      <c r="D55" s="37"/>
      <c r="E55" s="37"/>
      <c r="F55" s="37"/>
      <c r="G55" s="37"/>
      <c r="H55" s="37"/>
    </row>
    <row r="56" spans="1:8" ht="15.75" customHeight="1">
      <c r="A56" s="37" t="s">
        <v>165</v>
      </c>
      <c r="B56" s="37"/>
      <c r="C56" s="37"/>
      <c r="D56" s="37"/>
      <c r="E56" s="37"/>
      <c r="F56" s="37"/>
      <c r="G56" s="37"/>
      <c r="H56" s="37"/>
    </row>
  </sheetData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selection activeCell="J32" sqref="J32"/>
    </sheetView>
  </sheetViews>
  <sheetFormatPr defaultColWidth="9.00390625" defaultRowHeight="15"/>
  <cols>
    <col min="1" max="1" width="10.8515625" style="1" bestFit="1" customWidth="1"/>
    <col min="2" max="2" width="10.140625" style="1" bestFit="1" customWidth="1"/>
    <col min="3" max="4" width="9.00390625" style="1" customWidth="1"/>
    <col min="5" max="5" width="14.57421875" style="1" customWidth="1"/>
    <col min="6" max="6" width="12.28125" style="1" bestFit="1" customWidth="1"/>
    <col min="7" max="7" width="18.28125" style="1" bestFit="1" customWidth="1"/>
    <col min="8" max="8" width="15.421875" style="1" customWidth="1"/>
    <col min="9" max="16384" width="9.00390625" style="1" customWidth="1"/>
  </cols>
  <sheetData>
    <row r="1" spans="1:8" ht="12.75">
      <c r="A1" s="57" t="s">
        <v>21</v>
      </c>
      <c r="B1" s="57"/>
      <c r="C1" s="57"/>
      <c r="D1" s="57"/>
      <c r="E1" s="57"/>
      <c r="F1" s="57"/>
      <c r="G1" s="57"/>
      <c r="H1" s="57"/>
    </row>
    <row r="2" spans="1:8" ht="12.75">
      <c r="A2" s="1" t="s">
        <v>213</v>
      </c>
      <c r="B2" s="58"/>
      <c r="C2" s="58"/>
      <c r="D2" s="5" t="s">
        <v>27</v>
      </c>
      <c r="E2" s="5" t="s">
        <v>28</v>
      </c>
      <c r="F2" s="5" t="s">
        <v>29</v>
      </c>
      <c r="G2" s="5" t="s">
        <v>226</v>
      </c>
      <c r="H2" s="5" t="s">
        <v>31</v>
      </c>
    </row>
    <row r="3" spans="1:11" ht="12.75">
      <c r="A3" s="3"/>
      <c r="B3" s="57" t="s">
        <v>89</v>
      </c>
      <c r="C3" s="57"/>
      <c r="D3" s="3" t="s">
        <v>58</v>
      </c>
      <c r="E3" s="3" t="s">
        <v>26</v>
      </c>
      <c r="F3" s="3" t="s">
        <v>24</v>
      </c>
      <c r="G3" s="3" t="s">
        <v>25</v>
      </c>
      <c r="H3" s="3" t="s">
        <v>82</v>
      </c>
      <c r="K3" s="1" t="s">
        <v>229</v>
      </c>
    </row>
    <row r="4" spans="1:8" ht="12.75">
      <c r="A4" s="3" t="s">
        <v>8</v>
      </c>
      <c r="B4" s="4"/>
      <c r="C4" s="4"/>
      <c r="D4" s="4">
        <v>55</v>
      </c>
      <c r="E4" s="4"/>
      <c r="F4" s="4"/>
      <c r="G4" s="4">
        <v>42000</v>
      </c>
      <c r="H4" s="4">
        <v>600</v>
      </c>
    </row>
    <row r="5" spans="1:8" ht="12.75">
      <c r="A5" s="20"/>
      <c r="B5" s="9"/>
      <c r="C5" s="9"/>
      <c r="D5" s="9"/>
      <c r="E5" s="9"/>
      <c r="F5" s="9"/>
      <c r="G5" s="9"/>
      <c r="H5" s="10"/>
    </row>
    <row r="6" spans="1:8" ht="12.75">
      <c r="A6" s="15" t="s">
        <v>62</v>
      </c>
      <c r="B6" s="12"/>
      <c r="C6" s="12"/>
      <c r="D6" s="12"/>
      <c r="E6" s="12"/>
      <c r="F6" s="12"/>
      <c r="G6" s="12"/>
      <c r="H6" s="14"/>
    </row>
    <row r="7" spans="1:8" ht="12.75">
      <c r="A7" s="11"/>
      <c r="B7" s="12"/>
      <c r="C7" s="12"/>
      <c r="D7" s="13"/>
      <c r="E7" s="13"/>
      <c r="F7" s="12"/>
      <c r="G7" s="12"/>
      <c r="H7" s="14"/>
    </row>
    <row r="8" spans="1:8" ht="12.75">
      <c r="A8" s="3" t="s">
        <v>32</v>
      </c>
      <c r="B8" s="7">
        <v>30</v>
      </c>
      <c r="C8" s="3" t="s">
        <v>0</v>
      </c>
      <c r="D8" s="13" t="s">
        <v>36</v>
      </c>
      <c r="E8" s="13"/>
      <c r="F8" s="12"/>
      <c r="G8" s="12"/>
      <c r="H8" s="14"/>
    </row>
    <row r="9" spans="1:8" ht="12.75">
      <c r="A9" s="3" t="s">
        <v>33</v>
      </c>
      <c r="B9" s="7">
        <v>3</v>
      </c>
      <c r="C9" s="3" t="s">
        <v>0</v>
      </c>
      <c r="D9" s="13" t="s">
        <v>35</v>
      </c>
      <c r="E9" s="13"/>
      <c r="F9" s="12"/>
      <c r="G9" s="12"/>
      <c r="H9" s="14"/>
    </row>
    <row r="10" spans="1:8" ht="12.75">
      <c r="A10" s="3" t="s">
        <v>66</v>
      </c>
      <c r="B10" s="7">
        <v>2500</v>
      </c>
      <c r="C10" s="3" t="s">
        <v>34</v>
      </c>
      <c r="D10" s="13" t="s">
        <v>39</v>
      </c>
      <c r="E10" s="13"/>
      <c r="F10" s="12"/>
      <c r="G10" s="12"/>
      <c r="H10" s="14"/>
    </row>
    <row r="11" spans="1:9" ht="12.75">
      <c r="A11" s="3" t="s">
        <v>37</v>
      </c>
      <c r="B11" s="7">
        <v>50</v>
      </c>
      <c r="C11" s="3" t="s">
        <v>0</v>
      </c>
      <c r="D11" s="13" t="s">
        <v>41</v>
      </c>
      <c r="E11" s="13"/>
      <c r="F11" s="12"/>
      <c r="G11" s="12"/>
      <c r="H11" s="14"/>
      <c r="I11" s="1" t="s">
        <v>231</v>
      </c>
    </row>
    <row r="12" spans="1:17" ht="12.75">
      <c r="A12" s="3" t="s">
        <v>38</v>
      </c>
      <c r="B12" s="7">
        <v>8</v>
      </c>
      <c r="C12" s="3" t="s">
        <v>0</v>
      </c>
      <c r="D12" s="13" t="s">
        <v>40</v>
      </c>
      <c r="E12" s="13"/>
      <c r="F12" s="12"/>
      <c r="G12" s="12"/>
      <c r="H12" s="14"/>
      <c r="Q12" s="1" t="s">
        <v>235</v>
      </c>
    </row>
    <row r="13" spans="1:11" ht="12.75">
      <c r="A13" s="3" t="s">
        <v>42</v>
      </c>
      <c r="B13" s="7">
        <v>250</v>
      </c>
      <c r="C13" s="3" t="s">
        <v>1</v>
      </c>
      <c r="D13" s="13" t="s">
        <v>43</v>
      </c>
      <c r="E13" s="13"/>
      <c r="F13" s="12"/>
      <c r="G13" s="12"/>
      <c r="H13" s="14"/>
      <c r="I13" s="1" t="s">
        <v>230</v>
      </c>
      <c r="K13" s="1" t="s">
        <v>233</v>
      </c>
    </row>
    <row r="14" spans="1:8" ht="12.75">
      <c r="A14" s="3" t="s">
        <v>2</v>
      </c>
      <c r="B14" s="7">
        <v>0.4</v>
      </c>
      <c r="C14" s="3" t="s">
        <v>0</v>
      </c>
      <c r="D14" s="13" t="s">
        <v>74</v>
      </c>
      <c r="E14" s="13"/>
      <c r="F14" s="12"/>
      <c r="G14" s="12"/>
      <c r="H14" s="14"/>
    </row>
    <row r="15" spans="1:8" ht="12.75">
      <c r="A15" s="3" t="s">
        <v>44</v>
      </c>
      <c r="B15" s="8">
        <f>TRUNC((B10/1000000)*B8*(B11+B12),2)</f>
        <v>4.35</v>
      </c>
      <c r="C15" s="3" t="s">
        <v>45</v>
      </c>
      <c r="D15" s="13" t="s">
        <v>3</v>
      </c>
      <c r="E15" s="13"/>
      <c r="F15" s="12"/>
      <c r="G15" s="12"/>
      <c r="H15" s="14"/>
    </row>
    <row r="16" spans="1:8" ht="12.75">
      <c r="A16" s="3" t="s">
        <v>46</v>
      </c>
      <c r="B16" s="8">
        <f>TRUNC(((B13/10000)*B8),2)</f>
        <v>0.75</v>
      </c>
      <c r="C16" s="3" t="s">
        <v>45</v>
      </c>
      <c r="D16" s="13" t="s">
        <v>48</v>
      </c>
      <c r="E16" s="13"/>
      <c r="F16" s="12"/>
      <c r="G16" s="12"/>
      <c r="H16" s="14"/>
    </row>
    <row r="17" spans="1:8" ht="12.75">
      <c r="A17" s="3" t="s">
        <v>47</v>
      </c>
      <c r="B17" s="8">
        <f>TRUNC(((H4/1000000)*B9*B8),2)</f>
        <v>0.05</v>
      </c>
      <c r="C17" s="3" t="s">
        <v>45</v>
      </c>
      <c r="D17" s="13" t="s">
        <v>4</v>
      </c>
      <c r="E17" s="13"/>
      <c r="F17" s="12"/>
      <c r="G17" s="12"/>
      <c r="H17" s="14"/>
    </row>
    <row r="18" spans="1:9" ht="12.75">
      <c r="A18" s="3" t="s">
        <v>49</v>
      </c>
      <c r="B18" s="8">
        <f>TRUNC((B15+B16+B17),2)</f>
        <v>5.15</v>
      </c>
      <c r="C18" s="3" t="s">
        <v>45</v>
      </c>
      <c r="D18" s="13" t="s">
        <v>50</v>
      </c>
      <c r="E18" s="13"/>
      <c r="F18" s="12"/>
      <c r="G18" s="12"/>
      <c r="H18" s="14"/>
      <c r="I18" s="1" t="s">
        <v>232</v>
      </c>
    </row>
    <row r="19" spans="1:8" ht="12.75">
      <c r="A19" s="3" t="s">
        <v>51</v>
      </c>
      <c r="B19" s="8">
        <f>TRUNC((B18),2)</f>
        <v>5.15</v>
      </c>
      <c r="C19" s="3" t="s">
        <v>52</v>
      </c>
      <c r="D19" s="13" t="s">
        <v>53</v>
      </c>
      <c r="E19" s="13"/>
      <c r="F19" s="12"/>
      <c r="G19" s="12"/>
      <c r="H19" s="14"/>
    </row>
    <row r="20" spans="1:8" ht="12.75">
      <c r="A20" s="3" t="s">
        <v>54</v>
      </c>
      <c r="B20" s="32">
        <f>TRUNC((B19/8),2)</f>
        <v>0.64</v>
      </c>
      <c r="C20" s="3" t="s">
        <v>55</v>
      </c>
      <c r="D20" s="13" t="s">
        <v>56</v>
      </c>
      <c r="E20" s="13"/>
      <c r="F20" s="12"/>
      <c r="G20" s="12"/>
      <c r="H20" s="14"/>
    </row>
    <row r="21" spans="1:8" ht="12.75">
      <c r="A21" s="3" t="s">
        <v>6</v>
      </c>
      <c r="B21" s="8">
        <f>TRUNC(((B8*B9^2)/6),2)</f>
        <v>45</v>
      </c>
      <c r="C21" s="3" t="s">
        <v>0</v>
      </c>
      <c r="D21" s="13" t="s">
        <v>57</v>
      </c>
      <c r="E21" s="13"/>
      <c r="F21" s="36"/>
      <c r="G21" s="12"/>
      <c r="H21" s="14"/>
    </row>
    <row r="22" spans="1:11" ht="12.75">
      <c r="A22" s="3" t="s">
        <v>5</v>
      </c>
      <c r="B22" s="8">
        <f>TRUNC((D4*B21),2)</f>
        <v>2475</v>
      </c>
      <c r="C22" s="3"/>
      <c r="D22" s="13" t="s">
        <v>59</v>
      </c>
      <c r="E22" s="13"/>
      <c r="F22" s="12"/>
      <c r="G22" s="12"/>
      <c r="H22" s="14"/>
      <c r="K22" s="1" t="s">
        <v>234</v>
      </c>
    </row>
    <row r="23" spans="1:8" ht="12.75">
      <c r="A23" s="3" t="s">
        <v>60</v>
      </c>
      <c r="B23" s="8">
        <f>TRUNC((SQRT(B22/B20)),2)</f>
        <v>62.18</v>
      </c>
      <c r="C23" s="3" t="s">
        <v>0</v>
      </c>
      <c r="D23" s="13" t="s">
        <v>61</v>
      </c>
      <c r="E23" s="13"/>
      <c r="F23" s="12"/>
      <c r="G23" s="12"/>
      <c r="H23" s="14"/>
    </row>
    <row r="24" spans="1:8" ht="12.75">
      <c r="A24" s="11"/>
      <c r="B24" s="12"/>
      <c r="C24" s="12"/>
      <c r="D24" s="13"/>
      <c r="E24" s="13"/>
      <c r="F24" s="12"/>
      <c r="G24" s="12"/>
      <c r="H24" s="14"/>
    </row>
    <row r="25" spans="1:8" ht="12.75">
      <c r="A25" s="15" t="s">
        <v>63</v>
      </c>
      <c r="B25" s="12"/>
      <c r="C25" s="12"/>
      <c r="D25" s="13"/>
      <c r="E25" s="13"/>
      <c r="F25" s="12"/>
      <c r="G25" s="12"/>
      <c r="H25" s="14"/>
    </row>
    <row r="26" spans="1:8" ht="12.75">
      <c r="A26" s="11"/>
      <c r="B26" s="12"/>
      <c r="C26" s="12"/>
      <c r="D26" s="13"/>
      <c r="E26" s="13"/>
      <c r="F26" s="12"/>
      <c r="G26" s="12"/>
      <c r="H26" s="14"/>
    </row>
    <row r="27" spans="1:8" ht="12.75">
      <c r="A27" s="3" t="s">
        <v>7</v>
      </c>
      <c r="B27" s="8">
        <f>TRUNC(((B8*B9^3)/12),2)</f>
        <v>67.5</v>
      </c>
      <c r="C27" s="3" t="s">
        <v>10</v>
      </c>
      <c r="D27" s="13"/>
      <c r="E27" s="13"/>
      <c r="F27" s="12"/>
      <c r="G27" s="12"/>
      <c r="H27" s="14"/>
    </row>
    <row r="28" spans="1:8" ht="12.75">
      <c r="A28" s="3" t="s">
        <v>64</v>
      </c>
      <c r="B28" s="8">
        <f>TRUNC(((B19*B23^4)/(B27*G4))*(5/384),2)</f>
        <v>0.35</v>
      </c>
      <c r="C28" s="3" t="s">
        <v>0</v>
      </c>
      <c r="D28" s="13" t="s">
        <v>75</v>
      </c>
      <c r="E28" s="13"/>
      <c r="F28" s="24" t="str">
        <f>IF(B14&gt;=B28,"OK","VERIFICAR")</f>
        <v>OK</v>
      </c>
      <c r="G28" s="12"/>
      <c r="H28" s="14"/>
    </row>
    <row r="29" spans="1:8" ht="12.75">
      <c r="A29" s="16"/>
      <c r="B29" s="2"/>
      <c r="C29" s="2"/>
      <c r="D29" s="17"/>
      <c r="E29" s="17"/>
      <c r="F29" s="2"/>
      <c r="G29" s="2"/>
      <c r="H29" s="18"/>
    </row>
    <row r="30" spans="4:5" ht="12.75">
      <c r="D30" s="6"/>
      <c r="E30" s="6"/>
    </row>
    <row r="31" spans="1:8" ht="12.75">
      <c r="A31" s="20"/>
      <c r="B31" s="9"/>
      <c r="C31" s="9"/>
      <c r="D31" s="21"/>
      <c r="E31" s="21"/>
      <c r="F31" s="9"/>
      <c r="G31" s="9"/>
      <c r="H31" s="10"/>
    </row>
    <row r="32" spans="1:8" ht="12.75">
      <c r="A32" s="15" t="s">
        <v>65</v>
      </c>
      <c r="B32" s="12"/>
      <c r="C32" s="12"/>
      <c r="D32" s="12"/>
      <c r="E32" s="12"/>
      <c r="F32" s="12"/>
      <c r="G32" s="12"/>
      <c r="H32" s="14"/>
    </row>
    <row r="33" spans="1:8" ht="12.75">
      <c r="A33" s="11"/>
      <c r="B33" s="12"/>
      <c r="C33" s="12"/>
      <c r="D33" s="13"/>
      <c r="E33" s="13"/>
      <c r="F33" s="12"/>
      <c r="G33" s="12"/>
      <c r="H33" s="14"/>
    </row>
    <row r="34" spans="1:8" ht="12.75">
      <c r="A34" s="3" t="s">
        <v>32</v>
      </c>
      <c r="B34" s="23">
        <v>1</v>
      </c>
      <c r="C34" s="3" t="s">
        <v>0</v>
      </c>
      <c r="D34" s="13" t="s">
        <v>36</v>
      </c>
      <c r="E34" s="13"/>
      <c r="F34" s="12"/>
      <c r="G34" s="12"/>
      <c r="H34" s="14"/>
    </row>
    <row r="35" spans="1:8" ht="12.75">
      <c r="A35" s="3" t="s">
        <v>33</v>
      </c>
      <c r="B35" s="7">
        <v>1.5</v>
      </c>
      <c r="C35" s="3" t="s">
        <v>0</v>
      </c>
      <c r="D35" s="13" t="s">
        <v>35</v>
      </c>
      <c r="E35" s="13"/>
      <c r="F35" s="12"/>
      <c r="G35" s="12"/>
      <c r="H35" s="14"/>
    </row>
    <row r="36" spans="1:8" ht="12.75">
      <c r="A36" s="3" t="s">
        <v>38</v>
      </c>
      <c r="B36" s="7">
        <v>7</v>
      </c>
      <c r="C36" s="3" t="s">
        <v>0</v>
      </c>
      <c r="D36" s="13" t="s">
        <v>40</v>
      </c>
      <c r="E36" s="13"/>
      <c r="F36" s="12"/>
      <c r="G36" s="12"/>
      <c r="H36" s="14"/>
    </row>
    <row r="37" spans="1:8" ht="12.75">
      <c r="A37" s="3" t="s">
        <v>37</v>
      </c>
      <c r="B37" s="7">
        <v>10</v>
      </c>
      <c r="C37" s="3" t="s">
        <v>0</v>
      </c>
      <c r="D37" s="13" t="s">
        <v>41</v>
      </c>
      <c r="E37" s="13"/>
      <c r="F37" s="12"/>
      <c r="G37" s="12"/>
      <c r="H37" s="14"/>
    </row>
    <row r="38" spans="1:8" ht="12.75">
      <c r="A38" s="3" t="s">
        <v>42</v>
      </c>
      <c r="B38" s="7">
        <v>200</v>
      </c>
      <c r="C38" s="3" t="s">
        <v>1</v>
      </c>
      <c r="D38" s="13" t="s">
        <v>43</v>
      </c>
      <c r="E38" s="13"/>
      <c r="F38" s="12"/>
      <c r="G38" s="12"/>
      <c r="H38" s="14"/>
    </row>
    <row r="39" spans="1:8" ht="12.75">
      <c r="A39" s="3" t="s">
        <v>66</v>
      </c>
      <c r="B39" s="7">
        <v>2500</v>
      </c>
      <c r="C39" s="3" t="s">
        <v>34</v>
      </c>
      <c r="D39" s="13" t="s">
        <v>39</v>
      </c>
      <c r="E39" s="13"/>
      <c r="F39" s="12"/>
      <c r="G39" s="12"/>
      <c r="H39" s="14"/>
    </row>
    <row r="40" spans="1:8" ht="12.75">
      <c r="A40" s="3" t="s">
        <v>82</v>
      </c>
      <c r="B40" s="7">
        <v>600</v>
      </c>
      <c r="C40" s="3" t="s">
        <v>34</v>
      </c>
      <c r="D40" s="13" t="s">
        <v>102</v>
      </c>
      <c r="E40" s="13"/>
      <c r="F40" s="12"/>
      <c r="G40" s="12"/>
      <c r="H40" s="14"/>
    </row>
    <row r="41" spans="1:8" ht="12.75">
      <c r="A41" s="3" t="s">
        <v>33</v>
      </c>
      <c r="B41" s="7">
        <v>1.5</v>
      </c>
      <c r="C41" s="3" t="s">
        <v>0</v>
      </c>
      <c r="D41" s="13" t="s">
        <v>35</v>
      </c>
      <c r="E41" s="13"/>
      <c r="F41" s="12"/>
      <c r="G41" s="12"/>
      <c r="H41" s="14"/>
    </row>
    <row r="42" spans="1:8" ht="12.75">
      <c r="A42" s="3" t="s">
        <v>12</v>
      </c>
      <c r="B42" s="19">
        <f>TRUNC(((((B39/1000000)*(B36+B37)+(B38/10000)+((B40/1000000)*B41)))),4)</f>
        <v>0.0634</v>
      </c>
      <c r="C42" s="3" t="s">
        <v>52</v>
      </c>
      <c r="D42" s="13" t="s">
        <v>67</v>
      </c>
      <c r="E42" s="13"/>
      <c r="F42" s="12"/>
      <c r="G42" s="12"/>
      <c r="H42" s="14"/>
    </row>
    <row r="43" spans="1:8" ht="12.75">
      <c r="A43" s="3" t="s">
        <v>68</v>
      </c>
      <c r="B43" s="19">
        <f>TRUNC((B42),4)</f>
        <v>0.0634</v>
      </c>
      <c r="C43" s="3" t="s">
        <v>69</v>
      </c>
      <c r="D43" s="13" t="s">
        <v>67</v>
      </c>
      <c r="E43" s="13"/>
      <c r="F43" s="12"/>
      <c r="G43" s="12"/>
      <c r="H43" s="14"/>
    </row>
    <row r="44" spans="1:8" ht="12.75">
      <c r="A44" s="3" t="s">
        <v>60</v>
      </c>
      <c r="B44" s="8">
        <f>TRUNC(SQRT((((4*D4)*(B41^2))/((3*B43)))),2)</f>
        <v>51.01</v>
      </c>
      <c r="C44" s="3" t="s">
        <v>0</v>
      </c>
      <c r="D44" s="13" t="s">
        <v>61</v>
      </c>
      <c r="E44" s="13"/>
      <c r="F44" s="12"/>
      <c r="G44" s="12"/>
      <c r="H44" s="14"/>
    </row>
    <row r="45" spans="1:8" ht="12.75">
      <c r="A45" s="3" t="s">
        <v>7</v>
      </c>
      <c r="B45" s="8">
        <f>TRUNC(((B34*B41^3)/12),2)</f>
        <v>0.28</v>
      </c>
      <c r="C45" s="3" t="s">
        <v>10</v>
      </c>
      <c r="D45" s="13"/>
      <c r="E45" s="13"/>
      <c r="F45" s="12"/>
      <c r="G45" s="12"/>
      <c r="H45" s="14"/>
    </row>
    <row r="46" spans="1:8" ht="12.75">
      <c r="A46" s="11"/>
      <c r="B46" s="12"/>
      <c r="C46" s="12"/>
      <c r="D46" s="13"/>
      <c r="E46" s="13"/>
      <c r="F46" s="12"/>
      <c r="G46" s="12"/>
      <c r="H46" s="14"/>
    </row>
    <row r="47" spans="1:8" ht="12.75">
      <c r="A47" s="15" t="s">
        <v>227</v>
      </c>
      <c r="B47" s="12"/>
      <c r="C47" s="12"/>
      <c r="D47" s="13"/>
      <c r="E47" s="13"/>
      <c r="F47" s="12"/>
      <c r="G47" s="12"/>
      <c r="H47" s="14"/>
    </row>
    <row r="48" spans="1:8" ht="12.75">
      <c r="A48" s="11"/>
      <c r="B48" s="12"/>
      <c r="C48" s="12"/>
      <c r="D48" s="13"/>
      <c r="E48" s="13"/>
      <c r="F48" s="12"/>
      <c r="G48" s="12"/>
      <c r="H48" s="14"/>
    </row>
    <row r="49" spans="1:8" ht="12.75">
      <c r="A49" s="3" t="s">
        <v>72</v>
      </c>
      <c r="B49" s="22">
        <v>0.05</v>
      </c>
      <c r="C49" s="3" t="s">
        <v>73</v>
      </c>
      <c r="D49" s="13" t="s">
        <v>128</v>
      </c>
      <c r="E49" s="13"/>
      <c r="F49" s="12"/>
      <c r="G49" s="12"/>
      <c r="H49" s="14"/>
    </row>
    <row r="50" spans="1:8" ht="12.75">
      <c r="A50" s="3" t="s">
        <v>2</v>
      </c>
      <c r="B50" s="8">
        <f>TRUNC((B49*B36),2)</f>
        <v>0.35</v>
      </c>
      <c r="C50" s="3" t="s">
        <v>0</v>
      </c>
      <c r="D50" s="13" t="s">
        <v>135</v>
      </c>
      <c r="E50" s="13"/>
      <c r="F50" s="12"/>
      <c r="G50" s="12"/>
      <c r="H50" s="14"/>
    </row>
    <row r="51" spans="1:8" ht="12.75">
      <c r="A51" s="11"/>
      <c r="B51" s="12"/>
      <c r="C51" s="12"/>
      <c r="D51" s="13"/>
      <c r="E51" s="13"/>
      <c r="F51" s="12"/>
      <c r="G51" s="12"/>
      <c r="H51" s="14"/>
    </row>
    <row r="52" spans="1:8" ht="12.75">
      <c r="A52" s="15" t="s">
        <v>228</v>
      </c>
      <c r="B52" s="12"/>
      <c r="C52" s="12"/>
      <c r="D52" s="13"/>
      <c r="E52" s="13"/>
      <c r="F52" s="12"/>
      <c r="G52" s="12"/>
      <c r="H52" s="14"/>
    </row>
    <row r="53" spans="1:8" ht="12.75">
      <c r="A53" s="11"/>
      <c r="B53" s="12"/>
      <c r="C53" s="12"/>
      <c r="D53" s="13"/>
      <c r="E53" s="13"/>
      <c r="F53" s="12"/>
      <c r="G53" s="12"/>
      <c r="H53" s="14"/>
    </row>
    <row r="54" spans="1:8" ht="12.75">
      <c r="A54" s="3" t="s">
        <v>70</v>
      </c>
      <c r="B54" s="7">
        <v>400</v>
      </c>
      <c r="C54" s="3"/>
      <c r="D54" s="13" t="s">
        <v>71</v>
      </c>
      <c r="E54" s="13"/>
      <c r="F54" s="12"/>
      <c r="G54" s="12"/>
      <c r="H54" s="14"/>
    </row>
    <row r="55" spans="1:8" ht="12.75">
      <c r="A55" s="3" t="s">
        <v>2</v>
      </c>
      <c r="B55" s="8">
        <f>TRUNC((B44/B54),2)</f>
        <v>0.12</v>
      </c>
      <c r="C55" s="3" t="s">
        <v>0</v>
      </c>
      <c r="D55" s="13" t="s">
        <v>75</v>
      </c>
      <c r="E55" s="13"/>
      <c r="F55" s="12"/>
      <c r="G55" s="12"/>
      <c r="H55" s="14"/>
    </row>
    <row r="56" spans="1:8" ht="12.75">
      <c r="A56" s="11"/>
      <c r="B56" s="12"/>
      <c r="C56" s="12"/>
      <c r="D56" s="13"/>
      <c r="E56" s="13"/>
      <c r="F56" s="12"/>
      <c r="G56" s="12"/>
      <c r="H56" s="14"/>
    </row>
    <row r="57" spans="1:8" ht="12.75">
      <c r="A57" s="15" t="s">
        <v>63</v>
      </c>
      <c r="B57" s="12"/>
      <c r="C57" s="12"/>
      <c r="D57" s="13"/>
      <c r="E57" s="13"/>
      <c r="F57" s="12"/>
      <c r="G57" s="12"/>
      <c r="H57" s="14"/>
    </row>
    <row r="58" spans="1:8" ht="12.75">
      <c r="A58" s="15"/>
      <c r="B58" s="12"/>
      <c r="C58" s="12"/>
      <c r="D58" s="13"/>
      <c r="E58" s="13"/>
      <c r="F58" s="12"/>
      <c r="G58" s="12"/>
      <c r="H58" s="14"/>
    </row>
    <row r="59" spans="1:8" ht="12.75">
      <c r="A59" s="3" t="s">
        <v>2</v>
      </c>
      <c r="B59" s="7">
        <v>2</v>
      </c>
      <c r="C59" s="3" t="s">
        <v>0</v>
      </c>
      <c r="D59" s="13" t="s">
        <v>129</v>
      </c>
      <c r="E59" s="13"/>
      <c r="F59" s="12"/>
      <c r="G59" s="12"/>
      <c r="H59" s="14"/>
    </row>
    <row r="60" spans="1:8" ht="12.75">
      <c r="A60" s="3" t="s">
        <v>7</v>
      </c>
      <c r="B60" s="8">
        <f>TRUNC(((B34*B35^3)/12),2)</f>
        <v>0.28</v>
      </c>
      <c r="C60" s="3" t="s">
        <v>10</v>
      </c>
      <c r="D60" s="13"/>
      <c r="E60" s="13"/>
      <c r="F60" s="12"/>
      <c r="G60" s="12"/>
      <c r="H60" s="14"/>
    </row>
    <row r="61" spans="1:8" ht="12.75">
      <c r="A61" s="3" t="s">
        <v>64</v>
      </c>
      <c r="B61" s="8">
        <f>TRUNC(((B43*B44^4)/(B60*G4))*(5/384),2)</f>
        <v>0.47</v>
      </c>
      <c r="C61" s="3" t="s">
        <v>0</v>
      </c>
      <c r="D61" s="13" t="s">
        <v>75</v>
      </c>
      <c r="E61" s="13"/>
      <c r="F61" s="24" t="str">
        <f>IF(B59&gt;=B61,"OK","VERIFICAR")</f>
        <v>OK</v>
      </c>
      <c r="G61" s="12"/>
      <c r="H61" s="14"/>
    </row>
    <row r="62" spans="1:8" ht="12.75">
      <c r="A62" s="16"/>
      <c r="B62" s="2"/>
      <c r="C62" s="2"/>
      <c r="D62" s="2"/>
      <c r="E62" s="2"/>
      <c r="F62" s="2"/>
      <c r="G62" s="2"/>
      <c r="H62" s="18"/>
    </row>
    <row r="64" spans="1:8" ht="12.75">
      <c r="A64" s="20"/>
      <c r="B64" s="9"/>
      <c r="C64" s="9"/>
      <c r="D64" s="9"/>
      <c r="E64" s="9"/>
      <c r="F64" s="9"/>
      <c r="G64" s="9"/>
      <c r="H64" s="10"/>
    </row>
    <row r="65" spans="1:8" ht="12.75">
      <c r="A65" s="15" t="s">
        <v>76</v>
      </c>
      <c r="B65" s="12"/>
      <c r="C65" s="12"/>
      <c r="D65" s="12"/>
      <c r="E65" s="27" t="s">
        <v>103</v>
      </c>
      <c r="F65" s="12"/>
      <c r="G65" s="12"/>
      <c r="H65" s="14"/>
    </row>
    <row r="66" spans="1:8" ht="12.75">
      <c r="A66" s="11"/>
      <c r="B66" s="12"/>
      <c r="C66" s="12"/>
      <c r="D66" s="12"/>
      <c r="E66" s="12"/>
      <c r="F66" s="12"/>
      <c r="G66" s="12"/>
      <c r="H66" s="14"/>
    </row>
    <row r="67" spans="1:8" ht="12.75">
      <c r="A67" s="3" t="s">
        <v>2</v>
      </c>
      <c r="B67" s="7">
        <v>2</v>
      </c>
      <c r="C67" s="3" t="s">
        <v>0</v>
      </c>
      <c r="D67" s="13" t="s">
        <v>130</v>
      </c>
      <c r="E67" s="12"/>
      <c r="F67" s="12"/>
      <c r="G67" s="12"/>
      <c r="H67" s="14"/>
    </row>
    <row r="68" spans="1:8" ht="12.75">
      <c r="A68" s="3" t="s">
        <v>12</v>
      </c>
      <c r="B68" s="25">
        <f>B42</f>
        <v>0.0634</v>
      </c>
      <c r="C68" s="3" t="s">
        <v>52</v>
      </c>
      <c r="D68" s="13" t="s">
        <v>67</v>
      </c>
      <c r="E68" s="12"/>
      <c r="F68" s="12"/>
      <c r="G68" s="12"/>
      <c r="H68" s="14"/>
    </row>
    <row r="69" spans="1:8" ht="12.75">
      <c r="A69" s="3" t="s">
        <v>7</v>
      </c>
      <c r="B69" s="7">
        <f>B60</f>
        <v>0.28</v>
      </c>
      <c r="C69" s="3" t="s">
        <v>10</v>
      </c>
      <c r="D69" s="13"/>
      <c r="E69" s="12"/>
      <c r="F69" s="12"/>
      <c r="G69" s="12"/>
      <c r="H69" s="14"/>
    </row>
    <row r="70" spans="1:8" ht="12.75">
      <c r="A70" s="3" t="s">
        <v>77</v>
      </c>
      <c r="B70" s="8">
        <f>TRUNC(((384*B67*G4*B69)/(5*B68))^(1/4),2)</f>
        <v>73.05</v>
      </c>
      <c r="C70" s="3" t="s">
        <v>0</v>
      </c>
      <c r="D70" s="13" t="s">
        <v>61</v>
      </c>
      <c r="E70" s="13"/>
      <c r="F70" s="12"/>
      <c r="G70" s="12"/>
      <c r="H70" s="14"/>
    </row>
    <row r="71" spans="1:8" ht="12.75">
      <c r="A71" s="16"/>
      <c r="B71" s="2"/>
      <c r="C71" s="2"/>
      <c r="D71" s="2"/>
      <c r="E71" s="2"/>
      <c r="F71" s="2"/>
      <c r="G71" s="2"/>
      <c r="H71" s="18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4" spans="1:8" ht="12.75">
      <c r="A74" s="57" t="s">
        <v>96</v>
      </c>
      <c r="B74" s="57"/>
      <c r="C74" s="57"/>
      <c r="D74" s="57"/>
      <c r="E74" s="57"/>
      <c r="F74" s="57"/>
      <c r="G74" s="57"/>
      <c r="H74" s="57"/>
    </row>
    <row r="75" spans="1:8" ht="12.75">
      <c r="A75" s="33" t="s">
        <v>131</v>
      </c>
      <c r="B75" s="58"/>
      <c r="C75" s="58"/>
      <c r="D75" s="5" t="s">
        <v>27</v>
      </c>
      <c r="E75" s="5" t="s">
        <v>28</v>
      </c>
      <c r="F75" s="5" t="s">
        <v>29</v>
      </c>
      <c r="G75" s="5" t="s">
        <v>30</v>
      </c>
      <c r="H75" s="5" t="s">
        <v>31</v>
      </c>
    </row>
    <row r="76" spans="1:8" ht="12.75">
      <c r="A76" s="3"/>
      <c r="B76" s="57" t="s">
        <v>89</v>
      </c>
      <c r="C76" s="57"/>
      <c r="D76" s="3" t="s">
        <v>58</v>
      </c>
      <c r="E76" s="3" t="s">
        <v>26</v>
      </c>
      <c r="F76" s="3" t="s">
        <v>120</v>
      </c>
      <c r="G76" s="3" t="s">
        <v>25</v>
      </c>
      <c r="H76" s="3" t="s">
        <v>82</v>
      </c>
    </row>
    <row r="77" spans="1:8" ht="12.75">
      <c r="A77" s="28" t="s">
        <v>9</v>
      </c>
      <c r="B77" s="29">
        <v>75</v>
      </c>
      <c r="C77" s="29">
        <v>100</v>
      </c>
      <c r="D77" s="29">
        <v>156</v>
      </c>
      <c r="E77" s="29">
        <v>85</v>
      </c>
      <c r="F77" s="29">
        <v>9</v>
      </c>
      <c r="G77" s="29">
        <v>120000</v>
      </c>
      <c r="H77" s="29">
        <v>700</v>
      </c>
    </row>
    <row r="78" spans="1:8" ht="12.75">
      <c r="A78" s="20"/>
      <c r="B78" s="9"/>
      <c r="C78" s="9"/>
      <c r="D78" s="9"/>
      <c r="E78" s="9"/>
      <c r="F78" s="9"/>
      <c r="G78" s="9"/>
      <c r="H78" s="10"/>
    </row>
    <row r="79" spans="1:8" ht="12.75">
      <c r="A79" s="15" t="s">
        <v>97</v>
      </c>
      <c r="B79" s="12"/>
      <c r="C79" s="12"/>
      <c r="D79" s="27" t="s">
        <v>104</v>
      </c>
      <c r="E79" s="12"/>
      <c r="F79" s="12"/>
      <c r="G79" s="12"/>
      <c r="H79" s="14"/>
    </row>
    <row r="80" spans="1:8" ht="12.75">
      <c r="A80" s="11"/>
      <c r="B80" s="12"/>
      <c r="C80" s="12"/>
      <c r="D80" s="12"/>
      <c r="E80" s="12"/>
      <c r="F80" s="12"/>
      <c r="G80" s="12"/>
      <c r="H80" s="14"/>
    </row>
    <row r="81" spans="1:8" ht="12.75">
      <c r="A81" s="3" t="s">
        <v>60</v>
      </c>
      <c r="B81" s="7">
        <v>106.74</v>
      </c>
      <c r="C81" s="3" t="s">
        <v>0</v>
      </c>
      <c r="D81" s="26" t="s">
        <v>85</v>
      </c>
      <c r="E81" s="12"/>
      <c r="F81" s="12"/>
      <c r="G81" s="12"/>
      <c r="H81" s="14"/>
    </row>
    <row r="82" spans="1:8" ht="12.75">
      <c r="A82" s="3" t="s">
        <v>11</v>
      </c>
      <c r="B82" s="25">
        <f>B68</f>
        <v>0.0634</v>
      </c>
      <c r="C82" s="3" t="s">
        <v>52</v>
      </c>
      <c r="D82" s="26" t="s">
        <v>67</v>
      </c>
      <c r="E82" s="12"/>
      <c r="F82" s="12"/>
      <c r="G82" s="12"/>
      <c r="H82" s="14"/>
    </row>
    <row r="83" spans="1:8" ht="12.75">
      <c r="A83" s="3" t="s">
        <v>32</v>
      </c>
      <c r="B83" s="8">
        <f>B77/10</f>
        <v>7.5</v>
      </c>
      <c r="C83" s="3" t="s">
        <v>0</v>
      </c>
      <c r="D83" s="26" t="s">
        <v>86</v>
      </c>
      <c r="E83" s="12"/>
      <c r="F83" s="12"/>
      <c r="G83" s="12"/>
      <c r="H83" s="14"/>
    </row>
    <row r="84" spans="1:8" ht="12.75">
      <c r="A84" s="3" t="s">
        <v>78</v>
      </c>
      <c r="B84" s="8">
        <f>C77/10</f>
        <v>10</v>
      </c>
      <c r="C84" s="3" t="s">
        <v>0</v>
      </c>
      <c r="D84" s="26" t="s">
        <v>87</v>
      </c>
      <c r="E84" s="12"/>
      <c r="F84" s="12"/>
      <c r="G84" s="12"/>
      <c r="H84" s="14"/>
    </row>
    <row r="85" spans="1:8" ht="12.75">
      <c r="A85" s="3" t="s">
        <v>14</v>
      </c>
      <c r="B85" s="8">
        <f>B84*B83</f>
        <v>75</v>
      </c>
      <c r="C85" s="3" t="s">
        <v>81</v>
      </c>
      <c r="D85" s="26" t="s">
        <v>88</v>
      </c>
      <c r="E85" s="12"/>
      <c r="F85" s="12"/>
      <c r="G85" s="12"/>
      <c r="H85" s="14"/>
    </row>
    <row r="86" spans="1:8" ht="12.75">
      <c r="A86" s="3" t="s">
        <v>58</v>
      </c>
      <c r="B86" s="8">
        <f>D77</f>
        <v>156</v>
      </c>
      <c r="C86" s="3" t="s">
        <v>69</v>
      </c>
      <c r="D86" s="26" t="s">
        <v>102</v>
      </c>
      <c r="E86" s="12"/>
      <c r="F86" s="12"/>
      <c r="G86" s="12"/>
      <c r="H86" s="14"/>
    </row>
    <row r="87" spans="1:8" ht="12.75">
      <c r="A87" s="3" t="s">
        <v>79</v>
      </c>
      <c r="B87" s="8">
        <f>G77</f>
        <v>120000</v>
      </c>
      <c r="C87" s="3"/>
      <c r="D87" s="26" t="s">
        <v>91</v>
      </c>
      <c r="E87" s="12"/>
      <c r="F87" s="12"/>
      <c r="G87" s="12"/>
      <c r="H87" s="14"/>
    </row>
    <row r="88" spans="1:8" ht="12.75">
      <c r="A88" s="3" t="s">
        <v>82</v>
      </c>
      <c r="B88" s="8">
        <f>H77</f>
        <v>700</v>
      </c>
      <c r="C88" s="3" t="s">
        <v>34</v>
      </c>
      <c r="D88" s="26" t="s">
        <v>31</v>
      </c>
      <c r="E88" s="12"/>
      <c r="F88" s="12"/>
      <c r="G88" s="12"/>
      <c r="H88" s="14"/>
    </row>
    <row r="89" spans="1:8" ht="12.75">
      <c r="A89" s="3" t="s">
        <v>2</v>
      </c>
      <c r="B89" s="7">
        <v>2</v>
      </c>
      <c r="C89" s="3" t="s">
        <v>0</v>
      </c>
      <c r="D89" s="13" t="s">
        <v>130</v>
      </c>
      <c r="E89" s="12"/>
      <c r="F89" s="12"/>
      <c r="G89" s="12"/>
      <c r="H89" s="14"/>
    </row>
    <row r="90" spans="1:8" ht="12.75">
      <c r="A90" s="3" t="s">
        <v>121</v>
      </c>
      <c r="B90" s="8">
        <f>F77</f>
        <v>9</v>
      </c>
      <c r="C90" s="3" t="s">
        <v>69</v>
      </c>
      <c r="D90" s="26" t="s">
        <v>90</v>
      </c>
      <c r="E90" s="12"/>
      <c r="F90" s="12"/>
      <c r="G90" s="12"/>
      <c r="H90" s="14"/>
    </row>
    <row r="91" spans="1:8" ht="12.75">
      <c r="A91" s="3" t="s">
        <v>7</v>
      </c>
      <c r="B91" s="8">
        <f>TRUNC(B83*POWER(B84,3)/12,2)</f>
        <v>625</v>
      </c>
      <c r="C91" s="3" t="s">
        <v>10</v>
      </c>
      <c r="D91" s="26"/>
      <c r="E91" s="12"/>
      <c r="F91" s="12"/>
      <c r="G91" s="12"/>
      <c r="H91" s="14"/>
    </row>
    <row r="92" spans="1:8" ht="12.75">
      <c r="A92" s="3" t="s">
        <v>80</v>
      </c>
      <c r="B92" s="8">
        <f>TRUNC(B82*B81+B88*POWER(1000000,-1)*B85,2)</f>
        <v>6.81</v>
      </c>
      <c r="C92" s="3" t="s">
        <v>132</v>
      </c>
      <c r="D92" s="26" t="s">
        <v>67</v>
      </c>
      <c r="E92" s="12"/>
      <c r="F92" s="12"/>
      <c r="G92" s="12"/>
      <c r="H92" s="14"/>
    </row>
    <row r="93" spans="1:8" ht="12.75">
      <c r="A93" s="3" t="s">
        <v>95</v>
      </c>
      <c r="B93" s="8">
        <f>TRUNC(SQRT(4*B86*POWER(B84,2)*B83*POWER(3*B92,-1)),2)</f>
        <v>151.35</v>
      </c>
      <c r="C93" s="3" t="s">
        <v>83</v>
      </c>
      <c r="D93" s="26" t="s">
        <v>92</v>
      </c>
      <c r="E93" s="12"/>
      <c r="F93" s="12"/>
      <c r="G93" s="12"/>
      <c r="H93" s="14"/>
    </row>
    <row r="94" spans="1:8" ht="12.75">
      <c r="A94" s="3" t="s">
        <v>95</v>
      </c>
      <c r="B94" s="8">
        <f>TRUNC(POWER(384*B89*B87*B91*POWER(5*B92,-1),1/4),2)</f>
        <v>202.8</v>
      </c>
      <c r="C94" s="3" t="s">
        <v>83</v>
      </c>
      <c r="D94" s="26" t="s">
        <v>93</v>
      </c>
      <c r="E94" s="12"/>
      <c r="F94" s="12"/>
      <c r="G94" s="12"/>
      <c r="H94" s="14"/>
    </row>
    <row r="95" spans="1:8" ht="12.75">
      <c r="A95" s="3" t="s">
        <v>84</v>
      </c>
      <c r="B95" s="23">
        <f>SMALL(B93:B94,1)</f>
        <v>151.35</v>
      </c>
      <c r="C95" s="3" t="s">
        <v>0</v>
      </c>
      <c r="D95" s="26" t="s">
        <v>94</v>
      </c>
      <c r="E95" s="12"/>
      <c r="F95" s="12"/>
      <c r="G95" s="12"/>
      <c r="H95" s="14"/>
    </row>
    <row r="96" spans="1:8" ht="12.75">
      <c r="A96" s="11"/>
      <c r="B96" s="12"/>
      <c r="C96" s="12"/>
      <c r="D96" s="12"/>
      <c r="E96" s="12"/>
      <c r="F96" s="12"/>
      <c r="G96" s="12"/>
      <c r="H96" s="14"/>
    </row>
    <row r="97" spans="1:8" ht="12.75">
      <c r="A97" s="15" t="s">
        <v>98</v>
      </c>
      <c r="B97" s="12"/>
      <c r="C97" s="12"/>
      <c r="D97" s="12"/>
      <c r="E97" s="12"/>
      <c r="F97" s="12"/>
      <c r="G97" s="12"/>
      <c r="H97" s="14"/>
    </row>
    <row r="98" spans="1:8" ht="12.75">
      <c r="A98" s="11"/>
      <c r="B98" s="12"/>
      <c r="C98" s="12"/>
      <c r="D98" s="12"/>
      <c r="E98" s="12"/>
      <c r="F98" s="12"/>
      <c r="G98" s="12"/>
      <c r="H98" s="14"/>
    </row>
    <row r="99" spans="1:8" ht="12.75">
      <c r="A99" s="3" t="s">
        <v>99</v>
      </c>
      <c r="B99" s="23">
        <f>TRUNC(0.5*(B92*B95),2)</f>
        <v>515.34</v>
      </c>
      <c r="C99" s="12"/>
      <c r="D99" s="12"/>
      <c r="E99" s="12"/>
      <c r="F99" s="12"/>
      <c r="G99" s="12"/>
      <c r="H99" s="14"/>
    </row>
    <row r="100" spans="1:8" ht="12.75">
      <c r="A100" s="3" t="s">
        <v>100</v>
      </c>
      <c r="B100" s="23">
        <f>TRUNC(1.5*B99*POWER(B83*B84,-1),2)</f>
        <v>10.3</v>
      </c>
      <c r="C100" s="3" t="s">
        <v>101</v>
      </c>
      <c r="D100" s="59" t="str">
        <f>IF(B90&gt;=B100,"OK","NÃO ATENDE")</f>
        <v>NÃO ATENDE</v>
      </c>
      <c r="E100" s="60"/>
      <c r="F100" s="12"/>
      <c r="G100" s="12"/>
      <c r="H100" s="14"/>
    </row>
    <row r="101" spans="1:8" ht="12.75">
      <c r="A101" s="16"/>
      <c r="B101" s="2"/>
      <c r="C101" s="2"/>
      <c r="D101" s="2"/>
      <c r="E101" s="2"/>
      <c r="F101" s="2"/>
      <c r="G101" s="2"/>
      <c r="H101" s="18"/>
    </row>
    <row r="104" spans="1:8" ht="12.75">
      <c r="A104" s="57" t="s">
        <v>107</v>
      </c>
      <c r="B104" s="57"/>
      <c r="C104" s="57"/>
      <c r="D104" s="57"/>
      <c r="E104" s="57"/>
      <c r="F104" s="57"/>
      <c r="G104" s="57"/>
      <c r="H104" s="57"/>
    </row>
    <row r="105" spans="1:8" ht="12.75">
      <c r="A105" s="33" t="s">
        <v>136</v>
      </c>
      <c r="B105" s="58"/>
      <c r="C105" s="58"/>
      <c r="D105" s="5" t="s">
        <v>27</v>
      </c>
      <c r="E105" s="5" t="s">
        <v>28</v>
      </c>
      <c r="F105" s="5" t="s">
        <v>29</v>
      </c>
      <c r="G105" s="5" t="s">
        <v>30</v>
      </c>
      <c r="H105" s="5" t="s">
        <v>31</v>
      </c>
    </row>
    <row r="106" spans="1:8" ht="12.75">
      <c r="A106" s="3"/>
      <c r="B106" s="57" t="s">
        <v>89</v>
      </c>
      <c r="C106" s="57"/>
      <c r="D106" s="3" t="s">
        <v>58</v>
      </c>
      <c r="E106" s="3" t="s">
        <v>26</v>
      </c>
      <c r="F106" s="3" t="s">
        <v>120</v>
      </c>
      <c r="G106" s="3" t="s">
        <v>25</v>
      </c>
      <c r="H106" s="3" t="s">
        <v>82</v>
      </c>
    </row>
    <row r="107" spans="1:8" ht="12.75">
      <c r="A107" s="3" t="s">
        <v>22</v>
      </c>
      <c r="B107" s="4">
        <v>75</v>
      </c>
      <c r="C107" s="4">
        <v>150</v>
      </c>
      <c r="D107" s="4">
        <v>172</v>
      </c>
      <c r="E107" s="4">
        <v>104</v>
      </c>
      <c r="F107" s="4">
        <v>10</v>
      </c>
      <c r="G107" s="4">
        <v>136000</v>
      </c>
      <c r="H107" s="4">
        <v>650</v>
      </c>
    </row>
    <row r="108" spans="1:8" ht="12.75">
      <c r="A108" s="20"/>
      <c r="B108" s="9"/>
      <c r="C108" s="9"/>
      <c r="D108" s="9"/>
      <c r="E108" s="9"/>
      <c r="F108" s="9"/>
      <c r="G108" s="9"/>
      <c r="H108" s="10"/>
    </row>
    <row r="109" spans="1:8" ht="12.75">
      <c r="A109" s="15" t="s">
        <v>105</v>
      </c>
      <c r="B109" s="12"/>
      <c r="C109" s="12"/>
      <c r="D109" s="27" t="s">
        <v>106</v>
      </c>
      <c r="E109" s="12"/>
      <c r="F109" s="12"/>
      <c r="G109" s="12"/>
      <c r="H109" s="14"/>
    </row>
    <row r="110" spans="1:8" ht="12.75">
      <c r="A110" s="11"/>
      <c r="B110" s="12"/>
      <c r="C110" s="12"/>
      <c r="D110" s="12"/>
      <c r="E110" s="12"/>
      <c r="F110" s="12"/>
      <c r="G110" s="12"/>
      <c r="H110" s="14"/>
    </row>
    <row r="111" spans="1:8" ht="12.75">
      <c r="A111" s="3" t="s">
        <v>60</v>
      </c>
      <c r="B111" s="7">
        <v>106.74</v>
      </c>
      <c r="C111" s="3" t="s">
        <v>0</v>
      </c>
      <c r="D111" s="26" t="s">
        <v>85</v>
      </c>
      <c r="E111" s="12"/>
      <c r="F111" s="12"/>
      <c r="G111" s="12"/>
      <c r="H111" s="14"/>
    </row>
    <row r="112" spans="1:8" ht="12.75">
      <c r="A112" s="3" t="s">
        <v>95</v>
      </c>
      <c r="B112" s="7">
        <f>B95</f>
        <v>151.35</v>
      </c>
      <c r="C112" s="3" t="s">
        <v>0</v>
      </c>
      <c r="D112" s="26" t="s">
        <v>108</v>
      </c>
      <c r="E112" s="12"/>
      <c r="F112" s="12"/>
      <c r="G112" s="12"/>
      <c r="H112" s="14"/>
    </row>
    <row r="113" spans="1:8" ht="12.75">
      <c r="A113" s="3" t="s">
        <v>11</v>
      </c>
      <c r="B113" s="25">
        <f>B68</f>
        <v>0.0634</v>
      </c>
      <c r="C113" s="3" t="s">
        <v>52</v>
      </c>
      <c r="D113" s="26" t="s">
        <v>67</v>
      </c>
      <c r="E113" s="12"/>
      <c r="F113" s="12"/>
      <c r="G113" s="12"/>
      <c r="H113" s="14"/>
    </row>
    <row r="114" spans="1:8" ht="12.75">
      <c r="A114" s="3" t="s">
        <v>2</v>
      </c>
      <c r="B114" s="7">
        <v>2</v>
      </c>
      <c r="C114" s="3" t="s">
        <v>0</v>
      </c>
      <c r="D114" s="13" t="s">
        <v>130</v>
      </c>
      <c r="E114" s="12"/>
      <c r="F114" s="12"/>
      <c r="G114" s="12"/>
      <c r="H114" s="14"/>
    </row>
    <row r="115" spans="1:8" ht="12.75">
      <c r="A115" s="3" t="s">
        <v>32</v>
      </c>
      <c r="B115" s="8">
        <f>B107/10</f>
        <v>7.5</v>
      </c>
      <c r="C115" s="3" t="s">
        <v>0</v>
      </c>
      <c r="D115" s="26" t="s">
        <v>86</v>
      </c>
      <c r="E115" s="12"/>
      <c r="F115" s="12"/>
      <c r="G115" s="12"/>
      <c r="H115" s="14"/>
    </row>
    <row r="116" spans="1:8" ht="12.75">
      <c r="A116" s="3" t="s">
        <v>78</v>
      </c>
      <c r="B116" s="8">
        <f>C107/10</f>
        <v>15</v>
      </c>
      <c r="C116" s="3" t="s">
        <v>0</v>
      </c>
      <c r="D116" s="26" t="s">
        <v>87</v>
      </c>
      <c r="E116" s="12"/>
      <c r="F116" s="12"/>
      <c r="G116" s="12"/>
      <c r="H116" s="14"/>
    </row>
    <row r="117" spans="1:8" ht="12.75">
      <c r="A117" s="3" t="s">
        <v>109</v>
      </c>
      <c r="B117" s="8">
        <f>TRUNC((B115*B116),2)</f>
        <v>112.5</v>
      </c>
      <c r="C117" s="3" t="s">
        <v>81</v>
      </c>
      <c r="D117" s="26" t="s">
        <v>110</v>
      </c>
      <c r="E117" s="12"/>
      <c r="F117" s="12"/>
      <c r="G117" s="12"/>
      <c r="H117" s="14"/>
    </row>
    <row r="118" spans="1:8" ht="12.75">
      <c r="A118" s="3" t="s">
        <v>7</v>
      </c>
      <c r="B118" s="8">
        <f>TRUNC(B115*POWER(B116,3)/12,2)</f>
        <v>2109.37</v>
      </c>
      <c r="C118" s="3" t="s">
        <v>10</v>
      </c>
      <c r="D118" s="26"/>
      <c r="E118" s="12"/>
      <c r="F118" s="12"/>
      <c r="G118" s="12"/>
      <c r="H118" s="14"/>
    </row>
    <row r="119" spans="1:8" ht="12.75">
      <c r="A119" s="3" t="s">
        <v>6</v>
      </c>
      <c r="B119" s="8">
        <f>TRUNC(B115*POWER(B116,2)/6,2)</f>
        <v>281.25</v>
      </c>
      <c r="C119" s="3" t="s">
        <v>0</v>
      </c>
      <c r="D119" s="13" t="s">
        <v>57</v>
      </c>
      <c r="E119" s="12"/>
      <c r="F119" s="12"/>
      <c r="G119" s="12"/>
      <c r="H119" s="14"/>
    </row>
    <row r="120" spans="1:8" ht="12.75">
      <c r="A120" s="3" t="s">
        <v>13</v>
      </c>
      <c r="B120" s="8">
        <f>TRUNC(B113*B111*B112+H77*POWER(1000000,-1)*B85*B112+H107*POWER(1000000,-1*B117*B111),2)</f>
        <v>1032.17</v>
      </c>
      <c r="C120" s="3"/>
      <c r="D120" s="26"/>
      <c r="E120" s="12"/>
      <c r="F120" s="12"/>
      <c r="G120" s="12"/>
      <c r="H120" s="14"/>
    </row>
    <row r="121" spans="1:8" ht="12.75">
      <c r="A121" s="3" t="s">
        <v>111</v>
      </c>
      <c r="B121" s="8">
        <f>TRUNC(4*D107*B119/B120,2)</f>
        <v>187.46</v>
      </c>
      <c r="C121" s="3" t="s">
        <v>83</v>
      </c>
      <c r="D121" s="26" t="s">
        <v>92</v>
      </c>
      <c r="E121" s="12"/>
      <c r="F121" s="12"/>
      <c r="G121" s="12"/>
      <c r="H121" s="14"/>
    </row>
    <row r="122" spans="1:8" ht="12.75">
      <c r="A122" s="3" t="s">
        <v>64</v>
      </c>
      <c r="B122" s="8">
        <f>TRUNC(B120*POWER(B121,3)*POWER(48*G107*B118,-1),2)</f>
        <v>0.49</v>
      </c>
      <c r="C122" s="3" t="s">
        <v>83</v>
      </c>
      <c r="D122" s="13" t="s">
        <v>75</v>
      </c>
      <c r="F122" s="3" t="s">
        <v>112</v>
      </c>
      <c r="G122" s="24" t="str">
        <f>IF(B122&lt;=B114,"OK","NÃO ATENDE")</f>
        <v>OK</v>
      </c>
      <c r="H122" s="14"/>
    </row>
    <row r="123" spans="1:8" ht="12.75">
      <c r="A123" s="11"/>
      <c r="B123" s="12"/>
      <c r="C123" s="12"/>
      <c r="D123" s="12"/>
      <c r="E123" s="12"/>
      <c r="F123" s="12"/>
      <c r="G123" s="12"/>
      <c r="H123" s="14"/>
    </row>
    <row r="124" spans="1:8" ht="12.75">
      <c r="A124" s="15" t="s">
        <v>114</v>
      </c>
      <c r="B124" s="12"/>
      <c r="C124" s="12"/>
      <c r="D124" s="12"/>
      <c r="E124" s="12"/>
      <c r="F124" s="12"/>
      <c r="G124" s="12"/>
      <c r="H124" s="14"/>
    </row>
    <row r="125" spans="1:8" ht="12.75">
      <c r="A125" s="11"/>
      <c r="B125" s="12"/>
      <c r="C125" s="12"/>
      <c r="D125" s="12"/>
      <c r="E125" s="12"/>
      <c r="F125" s="12"/>
      <c r="G125" s="12"/>
      <c r="H125" s="14"/>
    </row>
    <row r="126" spans="1:8" ht="12.75">
      <c r="A126" s="3" t="s">
        <v>99</v>
      </c>
      <c r="B126" s="23">
        <f>TRUNC(0.5*B120,2)</f>
        <v>516.08</v>
      </c>
      <c r="C126" s="12"/>
      <c r="D126" s="12"/>
      <c r="E126" s="12"/>
      <c r="F126" s="12"/>
      <c r="G126" s="12"/>
      <c r="H126" s="14"/>
    </row>
    <row r="127" spans="1:8" ht="12.75">
      <c r="A127" s="3" t="s">
        <v>100</v>
      </c>
      <c r="B127" s="23">
        <f>TRUNC(1.5*B126*POWER(B117,-1),2)</f>
        <v>6.88</v>
      </c>
      <c r="C127" s="3" t="s">
        <v>113</v>
      </c>
      <c r="D127" s="59" t="str">
        <f>IF(B127&lt;=F107,"OK","NÃO ATENDE")</f>
        <v>OK</v>
      </c>
      <c r="E127" s="60"/>
      <c r="F127" s="12"/>
      <c r="G127" s="12"/>
      <c r="H127" s="14"/>
    </row>
    <row r="128" spans="1:8" ht="12.75">
      <c r="A128" s="16"/>
      <c r="B128" s="2"/>
      <c r="C128" s="2"/>
      <c r="D128" s="2"/>
      <c r="E128" s="2"/>
      <c r="F128" s="2"/>
      <c r="G128" s="2"/>
      <c r="H128" s="18"/>
    </row>
    <row r="131" spans="1:8" ht="12.75">
      <c r="A131" s="57" t="s">
        <v>115</v>
      </c>
      <c r="B131" s="57"/>
      <c r="C131" s="57"/>
      <c r="D131" s="57"/>
      <c r="E131" s="57"/>
      <c r="F131" s="57"/>
      <c r="G131" s="57"/>
      <c r="H131" s="57"/>
    </row>
    <row r="132" spans="1:8" ht="12.75">
      <c r="A132" s="34" t="s">
        <v>131</v>
      </c>
      <c r="B132" s="58"/>
      <c r="C132" s="58"/>
      <c r="D132" s="5" t="s">
        <v>27</v>
      </c>
      <c r="E132" s="5" t="s">
        <v>28</v>
      </c>
      <c r="F132" s="5" t="s">
        <v>29</v>
      </c>
      <c r="G132" s="5" t="s">
        <v>30</v>
      </c>
      <c r="H132" s="5" t="s">
        <v>31</v>
      </c>
    </row>
    <row r="133" spans="1:8" ht="12.75">
      <c r="A133" s="3"/>
      <c r="B133" s="57" t="s">
        <v>89</v>
      </c>
      <c r="C133" s="57"/>
      <c r="D133" s="3" t="s">
        <v>58</v>
      </c>
      <c r="E133" s="3" t="s">
        <v>26</v>
      </c>
      <c r="F133" s="3" t="s">
        <v>24</v>
      </c>
      <c r="G133" s="3" t="s">
        <v>25</v>
      </c>
      <c r="H133" s="3" t="s">
        <v>82</v>
      </c>
    </row>
    <row r="134" spans="1:8" ht="12.75">
      <c r="A134" s="3" t="s">
        <v>23</v>
      </c>
      <c r="B134" s="4">
        <v>75</v>
      </c>
      <c r="C134" s="4">
        <v>100</v>
      </c>
      <c r="D134" s="4">
        <v>156</v>
      </c>
      <c r="E134" s="4">
        <v>85</v>
      </c>
      <c r="F134" s="4">
        <v>9</v>
      </c>
      <c r="G134" s="4">
        <v>120000</v>
      </c>
      <c r="H134" s="4">
        <v>700</v>
      </c>
    </row>
    <row r="135" spans="1:8" ht="12.75">
      <c r="A135" s="11"/>
      <c r="B135" s="4">
        <v>100</v>
      </c>
      <c r="C135" s="26" t="s">
        <v>141</v>
      </c>
      <c r="D135" s="12"/>
      <c r="E135" s="12"/>
      <c r="F135" s="12"/>
      <c r="G135" s="12"/>
      <c r="H135" s="14"/>
    </row>
    <row r="136" spans="1:8" ht="12.75">
      <c r="A136" s="11"/>
      <c r="B136" s="12"/>
      <c r="C136" s="12"/>
      <c r="D136" s="12"/>
      <c r="E136" s="12"/>
      <c r="F136" s="12"/>
      <c r="G136" s="12"/>
      <c r="H136" s="14"/>
    </row>
    <row r="137" spans="1:8" ht="12.75">
      <c r="A137" s="15" t="s">
        <v>116</v>
      </c>
      <c r="B137" s="12"/>
      <c r="C137" s="12"/>
      <c r="D137" s="27"/>
      <c r="E137" s="12"/>
      <c r="F137" s="12"/>
      <c r="G137" s="12"/>
      <c r="H137" s="14"/>
    </row>
    <row r="138" spans="1:8" ht="12.75">
      <c r="A138" s="11"/>
      <c r="B138" s="12"/>
      <c r="C138" s="12"/>
      <c r="D138" s="12"/>
      <c r="E138" s="12"/>
      <c r="F138" s="35" t="s">
        <v>17</v>
      </c>
      <c r="G138" s="3" t="s">
        <v>138</v>
      </c>
      <c r="H138" s="3" t="s">
        <v>137</v>
      </c>
    </row>
    <row r="139" spans="1:8" ht="12.75">
      <c r="A139" s="3" t="s">
        <v>139</v>
      </c>
      <c r="B139" s="8">
        <f>B135/10</f>
        <v>10</v>
      </c>
      <c r="C139" s="3" t="s">
        <v>0</v>
      </c>
      <c r="D139" s="13" t="s">
        <v>140</v>
      </c>
      <c r="E139" s="12"/>
      <c r="F139" s="36"/>
      <c r="G139" s="12"/>
      <c r="H139" s="14"/>
    </row>
    <row r="140" spans="1:8" ht="12.75">
      <c r="A140" s="3" t="s">
        <v>15</v>
      </c>
      <c r="B140" s="7">
        <v>250</v>
      </c>
      <c r="C140" s="3" t="s">
        <v>0</v>
      </c>
      <c r="D140" s="26" t="s">
        <v>117</v>
      </c>
      <c r="E140" s="12"/>
      <c r="F140" s="12"/>
      <c r="G140" s="12"/>
      <c r="H140" s="14"/>
    </row>
    <row r="141" spans="1:8" ht="12.75">
      <c r="A141" s="3" t="s">
        <v>32</v>
      </c>
      <c r="B141" s="8">
        <f>B134/10</f>
        <v>7.5</v>
      </c>
      <c r="C141" s="3" t="s">
        <v>0</v>
      </c>
      <c r="D141" s="26" t="s">
        <v>86</v>
      </c>
      <c r="E141" s="12"/>
      <c r="F141" s="12"/>
      <c r="G141" s="12"/>
      <c r="H141" s="14"/>
    </row>
    <row r="142" spans="1:8" ht="12.75">
      <c r="A142" s="3" t="s">
        <v>78</v>
      </c>
      <c r="B142" s="8">
        <v>7.5</v>
      </c>
      <c r="C142" s="3" t="s">
        <v>0</v>
      </c>
      <c r="D142" s="26" t="s">
        <v>118</v>
      </c>
      <c r="E142" s="12"/>
      <c r="F142" s="12"/>
      <c r="G142" s="12"/>
      <c r="H142" s="14"/>
    </row>
    <row r="143" spans="1:8" ht="12.75">
      <c r="A143" s="3" t="s">
        <v>19</v>
      </c>
      <c r="B143" s="8">
        <f>TRUNC(1.4*0.5*B120,2)</f>
        <v>722.51</v>
      </c>
      <c r="C143" s="3" t="s">
        <v>133</v>
      </c>
      <c r="D143" s="26" t="s">
        <v>119</v>
      </c>
      <c r="E143" s="12"/>
      <c r="F143" s="12"/>
      <c r="G143" s="12"/>
      <c r="H143" s="14"/>
    </row>
    <row r="144" spans="1:8" ht="12.75">
      <c r="A144" s="3" t="s">
        <v>16</v>
      </c>
      <c r="B144" s="8">
        <f>IF(F138="r",(B141*B142),((3.14*B139^2)/4))</f>
        <v>56.25</v>
      </c>
      <c r="C144" s="3" t="s">
        <v>81</v>
      </c>
      <c r="D144" s="26" t="s">
        <v>125</v>
      </c>
      <c r="E144" s="12"/>
      <c r="F144" s="12"/>
      <c r="G144" s="12"/>
      <c r="H144" s="14"/>
    </row>
    <row r="145" spans="1:8" ht="12.75">
      <c r="A145" s="3" t="s">
        <v>6</v>
      </c>
      <c r="B145" s="8">
        <f>IF(F138="r",(TRUNC(B115*POWER(B116,2)/6,2)),(B139^3/32))</f>
        <v>281.25</v>
      </c>
      <c r="C145" s="3" t="s">
        <v>0</v>
      </c>
      <c r="D145" s="13" t="s">
        <v>57</v>
      </c>
      <c r="E145" s="12"/>
      <c r="F145" s="12"/>
      <c r="G145" s="12"/>
      <c r="H145" s="14"/>
    </row>
    <row r="146" spans="1:8" ht="12.75">
      <c r="A146" s="3" t="s">
        <v>7</v>
      </c>
      <c r="B146" s="8">
        <f>IF(F138="r",(TRUNC(B141*POWER(B142,3)/12,2)),(B139^4/64))</f>
        <v>263.67</v>
      </c>
      <c r="C146" s="3" t="s">
        <v>10</v>
      </c>
      <c r="D146" s="26"/>
      <c r="E146" s="12"/>
      <c r="F146" s="12"/>
      <c r="G146" s="12"/>
      <c r="H146" s="14"/>
    </row>
    <row r="147" spans="1:8" ht="12.75">
      <c r="A147" s="3" t="s">
        <v>17</v>
      </c>
      <c r="B147" s="8">
        <f>TRUNC(SQRT(B146/B144),2)</f>
        <v>2.16</v>
      </c>
      <c r="C147" s="3"/>
      <c r="D147" s="26" t="s">
        <v>124</v>
      </c>
      <c r="E147" s="12"/>
      <c r="F147" s="12"/>
      <c r="G147" s="12"/>
      <c r="H147" s="14"/>
    </row>
    <row r="148" spans="1:8" ht="12.75">
      <c r="A148" s="3" t="s">
        <v>126</v>
      </c>
      <c r="B148" s="8">
        <f>TRUNC(B140/B147,2)</f>
        <v>115.74</v>
      </c>
      <c r="C148" s="3" t="s">
        <v>83</v>
      </c>
      <c r="D148" s="26"/>
      <c r="E148" s="12"/>
      <c r="F148" s="12"/>
      <c r="G148" s="12"/>
      <c r="H148" s="14"/>
    </row>
    <row r="149" spans="1:8" ht="12.75">
      <c r="A149" s="3" t="s">
        <v>127</v>
      </c>
      <c r="B149" s="8">
        <f>TRUNC(SQRT(POWER(PI(),2)*3*G134*POWER(8*E134,-1)),2)</f>
        <v>72.28</v>
      </c>
      <c r="C149" s="3" t="s">
        <v>83</v>
      </c>
      <c r="D149" s="26"/>
      <c r="E149" s="12"/>
      <c r="F149" s="30"/>
      <c r="G149" s="12"/>
      <c r="H149" s="14"/>
    </row>
    <row r="150" spans="1:8" ht="12.75">
      <c r="A150" s="3" t="s">
        <v>18</v>
      </c>
      <c r="B150" s="3">
        <f>IF(B148&lt;=40,E134,IF(B148&gt;B149,(TRUNC(2*POWER(3,-1)*E134*(POWER(B149/B148,2)),2)),(TRUNC(E134*(1-1*POWER(3,-1)*(B148-B149)*POWER(B149-40,-1)),2))))</f>
        <v>22.1</v>
      </c>
      <c r="C150" s="3" t="s">
        <v>134</v>
      </c>
      <c r="D150" s="26" t="s">
        <v>122</v>
      </c>
      <c r="E150" s="12"/>
      <c r="F150" s="12"/>
      <c r="G150" s="12"/>
      <c r="H150" s="14"/>
    </row>
    <row r="151" spans="1:8" ht="12.75">
      <c r="A151" s="3" t="s">
        <v>20</v>
      </c>
      <c r="B151" s="3">
        <f>TRUNC(B143/B144,2)</f>
        <v>12.84</v>
      </c>
      <c r="C151" s="3" t="s">
        <v>134</v>
      </c>
      <c r="D151" s="31" t="s">
        <v>123</v>
      </c>
      <c r="F151" s="59" t="str">
        <f>IF(B150&gt;B151,"OK","REVER VALORES")</f>
        <v>OK</v>
      </c>
      <c r="G151" s="60"/>
      <c r="H151" s="14"/>
    </row>
    <row r="152" spans="1:8" ht="12.75">
      <c r="A152" s="11"/>
      <c r="B152" s="12"/>
      <c r="C152" s="12"/>
      <c r="D152" s="12"/>
      <c r="E152" s="12"/>
      <c r="F152" s="12"/>
      <c r="G152" s="12"/>
      <c r="H152" s="14"/>
    </row>
    <row r="153" spans="1:8" ht="12.75">
      <c r="A153" s="16"/>
      <c r="B153" s="2"/>
      <c r="C153" s="2"/>
      <c r="D153" s="2"/>
      <c r="E153" s="2"/>
      <c r="F153" s="2"/>
      <c r="G153" s="2"/>
      <c r="H153" s="18"/>
    </row>
  </sheetData>
  <sheetProtection/>
  <mergeCells count="15">
    <mergeCell ref="B132:C132"/>
    <mergeCell ref="B133:C133"/>
    <mergeCell ref="F151:G151"/>
    <mergeCell ref="B105:C105"/>
    <mergeCell ref="B106:C106"/>
    <mergeCell ref="D127:E127"/>
    <mergeCell ref="A131:H131"/>
    <mergeCell ref="A1:H1"/>
    <mergeCell ref="B2:C2"/>
    <mergeCell ref="A74:H74"/>
    <mergeCell ref="A104:H104"/>
    <mergeCell ref="B75:C75"/>
    <mergeCell ref="B76:C76"/>
    <mergeCell ref="D100:E100"/>
    <mergeCell ref="B3:C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scale="97" r:id="rId2"/>
  <rowBreaks count="3" manualBreakCount="3">
    <brk id="30" max="7" man="1"/>
    <brk id="71" max="255" man="1"/>
    <brk id="12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bcm</dc:creator>
  <cp:keywords/>
  <dc:description/>
  <cp:lastModifiedBy>Cesar Diniz</cp:lastModifiedBy>
  <cp:lastPrinted>2008-11-27T10:54:38Z</cp:lastPrinted>
  <dcterms:created xsi:type="dcterms:W3CDTF">2008-11-07T15:34:51Z</dcterms:created>
  <dcterms:modified xsi:type="dcterms:W3CDTF">2008-12-01T02:41:42Z</dcterms:modified>
  <cp:category/>
  <cp:version/>
  <cp:contentType/>
  <cp:contentStatus/>
</cp:coreProperties>
</file>